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50" windowHeight="8100" activeTab="1"/>
  </bookViews>
  <sheets>
    <sheet name="SAR6" sheetId="1" r:id="rId1"/>
    <sheet name="SAR7_1" sheetId="2" r:id="rId2"/>
  </sheets>
  <externalReferences>
    <externalReference r:id="rId5"/>
  </externalReferences>
  <definedNames>
    <definedName name="_xlnm.Print_Area" localSheetId="1">'SAR7_1'!$A$1:$V$112</definedName>
    <definedName name="_xlnm.Print_Titles" localSheetId="1">'SAR7_1'!$3:$4</definedName>
  </definedNames>
  <calcPr fullCalcOnLoad="1"/>
</workbook>
</file>

<file path=xl/sharedStrings.xml><?xml version="1.0" encoding="utf-8"?>
<sst xmlns="http://schemas.openxmlformats.org/spreadsheetml/2006/main" count="602" uniqueCount="250">
  <si>
    <t>ผลดำเนินงาน</t>
  </si>
  <si>
    <t>เกณฑ์คะแนน</t>
  </si>
  <si>
    <t>คะแนนถ่วงน้ำหนัก</t>
  </si>
  <si>
    <t>ปี 2547</t>
  </si>
  <si>
    <t>ปี 2548</t>
  </si>
  <si>
    <t xml:space="preserve"> ตามเกณฑ์ (1,2,3)</t>
  </si>
  <si>
    <t>พัฒนาการ (0,1)</t>
  </si>
  <si>
    <t>1. มาตรฐานด้านคุณภาพบัณฑิต</t>
  </si>
  <si>
    <t>2. มาตรฐานด้านงานวิจัยและงานสร้างสรรค์</t>
  </si>
  <si>
    <t>3. มาตรฐานด้านการบริการวิชาการ</t>
  </si>
  <si>
    <t>7. มาตรฐานด้านระบบการประกันคุณภาพ</t>
  </si>
  <si>
    <t>6. มาตรฐานด้านหลักสูตรและการเรียนการสอน</t>
  </si>
  <si>
    <t>4.4 ประสิทธิผลในการอนุรักษ์พัฒนาและสร้างเสริมเอกลักษณ์ศิลปะและวัฒนธรรม(ระดับ)</t>
  </si>
  <si>
    <t>ปี 2549</t>
  </si>
  <si>
    <t>เป้าหมาย2549</t>
  </si>
  <si>
    <t>1.2 ร้อยละของบัณฑิตระดับปริญญาตรีที่ได้ทำงานตรงสาขาที่สำเร็จการศึกษา</t>
  </si>
  <si>
    <t>1.3 ร้อยละของบัณฑิตที่ได้รับเงินเดือนเริ่มต้นเป็นไปตามเกณฑ์</t>
  </si>
  <si>
    <t>1.4 ระดับความพึงพอใจของนายจ้าง ผู้ประกอบการและผู้ใช้บัณฑิต</t>
  </si>
  <si>
    <t>1.5 จำนวนนักศึกษา หรือศิษย์เก่าที่ได้รับการประกาศเกียรติคุณยกย่องในด้านวิชาการ วิชาชีพ คุณธรรม จริยธรรม หรือรางวัลทางวิชาการหรือด้านอื่นที่เกี่ยวข้องกับคุณภาพบัณฑิตในระดับชาติหรือระดับนานาชาติ (คน)</t>
  </si>
  <si>
    <t>ตัวบ่งชี้เฉพาะ</t>
  </si>
  <si>
    <t>1.7 ร้อยละของบทความจากวิทยานิพนธ์ปริญญาโทที่ตีพิมพ์ เผยแพร่ต่อจำนวนวิทยานิพนธ์ปริญญาโททั้งหมด</t>
  </si>
  <si>
    <t>ตัวบ่งชี้ร่วม</t>
  </si>
  <si>
    <t>2.1  ร้อยละของงานวิจัยและงานสร้างสรรค์ที่ตีพิมพ์ เผยแพร่ และ/หรือนำไปใช้ประโยชน์ทั้งในระดับชาติและระดับนานาชาติต่อจำนวนอาจารย์ประจำและนักวิจัย</t>
  </si>
  <si>
    <t xml:space="preserve">2.4 ร้อยละของอาจารย์ประจำและนักวิจัยที่ได้รับทุนทำวิจัยหรืองานสร้างสรรค์จากภายในสถาบันต่ออาจารย์ประจำและนักวิจัย </t>
  </si>
  <si>
    <t>2.5 ร้อยละของอาจารย์ประจำและนักวิจัยที่ได้รับทุนทำวิจัยหรืองานสร้างสรรค์จากภายนอกสถาบันต่ออาจารย์ประจำและนักวิจัย</t>
  </si>
  <si>
    <t>2.6 ร้อยละของบทความวิจัยที่ได้รับการอ้างอิง (Citation) ใน Refereed journal หรือในฐานข้อมูลระดับชาติหรือระดับนานาชาติต่ออาจารย์ประจำและนักวิจัยทั้งหมด</t>
  </si>
  <si>
    <t>2.7 จำนวนผลงานวิจัยและงานสร้างสรรค์ที่ได้รับการจดทะเบียนทรัพย์สินทางปัญญา(สิทธิบัตร/อนุสิทธิบัตร/ลิขสิทธิ์)ในรอบ 5 ปีที่ผ่านมา (ชิ้นงาน)</t>
  </si>
  <si>
    <t>3.3  มีการนำความรู้และประสบการณ์จากการบริการวิชาการและวิชาชีพมาใช้ในการพัฒนาการเรียนการสอนและการวิจัย (ระดับ)</t>
  </si>
  <si>
    <t>3.6 จำนวนแหล่งให้บริการวิชาการและวิชาชีพที่ได้รับการยอมรับในระดับชาติหรือระดับนานาชาติ (จำนวนศูนย์เครือข่าย)</t>
  </si>
  <si>
    <t>3.1 ร้อยละของกิจกรรม/โครงการบริการวิชาการและวิชาชีพที่ตอบสนองความต้องการพัฒนาและเสริมสร้างความเข้มแข็งของสังคม ชุมชน ประเทศชาติ และนานาชาติต่ออาจารย์ประจำ และนานาชาติต่ออาจารย์ประจำ</t>
  </si>
  <si>
    <t>3.2  ร้อยละของอาจารย์ที่เป็นที่ปรึกษาเป็นกรรมการวิทยานิพนธ์ภายนอกสถาบัน เป็นกรรมการวิชาการและกรรมการวิชาชีพในระดับชาติและนานาชาติต่ออาจารย์ประจำทั้งหมด</t>
  </si>
  <si>
    <t xml:space="preserve">3.4  ค่าใช้จ่ายและมูลค่าของสถาบันในการบริการวิชาการและวิชาชีพเพื่อสังคมต่ออาจารย์ประจำ </t>
  </si>
  <si>
    <t>3.7 รายรับของสถาบันในการให้บริการวิชาการและวิชาชีพในนามสถาบันต่ออาจารย์ประจำ (บาทต่อคน)</t>
  </si>
  <si>
    <t>3.8 ระดับความสำเร็จในการบริการวิชาการและวิชาชีพตามพันธกิจของสถาบัน(ระดับ)</t>
  </si>
  <si>
    <t>4.1 ร้อยละของโครงการ/กิจกรรมในการอนุรักษ์ พัฒนา และสร้างเสริมเอกลักษณ์ ศิลปะและวัฒนธรรมต่อจำนวนนักศึกษาระดับปริญญาตรีภาคปกติทั้งหมด</t>
  </si>
  <si>
    <t>4.2 ร้อยละของค่าใช้จ่ายและมูลค่าที่ใช้ในการอนุรักษ์ พัฒนาและสร้างเสริมเอกลักษณ์ ศิลปะและวัฒนธรรมต่องบดำเนินการ</t>
  </si>
  <si>
    <t>5.1 ระดับคุณภาพของสภามหาวิทยาลัย/ สถาบัน/ กลุ่มสาขาวิชา/คณะ/หน่วยงาน (ข้อ)</t>
  </si>
  <si>
    <t>5.2 มีการพัฒนาสถาบันสู่องค์การเรียนรู้ โดยอาศัยผลการประเมินจากภายในและภายนอก (ระดับ)</t>
  </si>
  <si>
    <t>5.5 ศักยภาพของระบบฐานข้อมูลเพื่อการบริหาร การเรียนการสอน และการวิจัย (ระดับ)</t>
  </si>
  <si>
    <t xml:space="preserve">5.7 ค่าใช้จ่ายทั้งหมดต่อจำนวนนักศึกษาเต็มเวลาเทียบเท่า (ร้อยละของเกณฑ์ปกติ) </t>
  </si>
  <si>
    <t>5.8 ร้อยละของเงินเหลือจ่ายสุทธิต่องบดำเนินการ (ร้อยละของงบดำเนินการ)</t>
  </si>
  <si>
    <t>5.3 มีการกำหนดแผนกลยุทธ์ที่เชื่อมโยงกับแผนยุทธศาสตร์ชาติหรือยุทธศาสตร์อุดมศึกษา (ระดับ)</t>
  </si>
  <si>
    <t>5.4 การใช้ทรัพยากรภายในและภายนอกสถาบัน/กลุ่มสาขาวิชา/คณะ/หน่วยงานร่วมกัน (ระดับ)</t>
  </si>
  <si>
    <t xml:space="preserve">5.6 สินทรัพย์ถาวรต่อจำนวนนักศึกษาเต็มเวลาเทียบเท่า (บาท/คน) </t>
  </si>
  <si>
    <t>5.9  ร้อยละของอาจารย์ที่เข้าร่วมประชุมวิชาการและ/หรือนำเสนอผลงานวิชาการทั้งในประเทศและต่างประเทศ</t>
  </si>
  <si>
    <t>5.10 งบประมาณสำหรับพัฒนาคณาจารย์ทั้งในประเทศและต่างประเทศต่ออาจารย์ประจำ (บาทต่อคน)</t>
  </si>
  <si>
    <t>5.11 ร้อยละของบุคลากรประจำสายสนับสนุนที่ได้รับการพัฒนาความรู้และทักษะในวิชาชีพ ทั้งในประเทศและต่างประเทศ</t>
  </si>
  <si>
    <t>5.12 กิจกรรม 5ส./กิจกรรมคุณภาพอื่นๆ(ระดับ)*</t>
  </si>
  <si>
    <t>รวม (มาตรฐานที่ 5)</t>
  </si>
  <si>
    <t>6.1 ร้อยละของหลักสูตรที่ได้มาตรฐานต่อหลักสูตรทั้งหมด</t>
  </si>
  <si>
    <t>6.2 จำนวนนักศึกษาเต็มเวลาเทียบเท่าต่อจำนวนอาจารย์ (ร้อยละของเกณฑ์ปกติ)</t>
  </si>
  <si>
    <t>6.3 ร้อยละของอาจารย์ประจำที่มีวุฒิปริญญาเอกหรือเทียบเท่าต่ออาจารย์ประจำทั้งหมด</t>
  </si>
  <si>
    <t>6.5  การปฏิบัติตามจรรยาบรรณวิชาชีพคณาจารย์ (Professional Ethics)(ระดับ)</t>
  </si>
  <si>
    <t>6.6 กระบวนการเรียนรู้ที่เน้นผู้เรียนเป็นสำคัญ โดยเฉพาะการเรียนรู้จากการปฏิบัติและประสบการณ์จริง (ข้อ)</t>
  </si>
  <si>
    <t>6.7 ระดับความพึงพอใจของนักศึกษาต่อคุณภาพการสอนของอาจารย์และสิ่งสนับสนุนการเรียนรู้</t>
  </si>
  <si>
    <t>6.8 ร้อยละของนักศึกษาที่เข้าร่วมกิจกรรม / โครงการพัฒนานักศึกษาต่อจำนวนนักศึกษาระดับปริญญาตรีทั้งหมด</t>
  </si>
  <si>
    <t>6.9 ค่าใช้จ่ายทั้งหมดที่ใช้ในระบบห้องสมุด คอมพิวเตอร์ และศูนย์สารสนเทศต่อนักศึกษาเต็มเวลาเทียบเท่า (บาทต่อคน)</t>
  </si>
  <si>
    <t>6.12 ร้อยละของนักศึกษาปริญญาตรีที่สำเร็จการศึกษาตามระยะเวลาที่กำหนดไว้ในหลักสูตร*</t>
  </si>
  <si>
    <t>6.11 การวัดและประเมินผลการเรียนรู้ของนักศึกษา (ระดับ)*</t>
  </si>
  <si>
    <t>รวม (มาตรฐานที่ 6)</t>
  </si>
  <si>
    <t>7.1 มีระบบกลไกการประกันคุณภาพภายในที่ก่อให้เกิดการพัฒนาคุณภาพการศึกษาอย่างต่อเนื่อง (ระดับ)</t>
  </si>
  <si>
    <t>7.2 ประสิทธิผลของการประกันคุณภาพภายใน(ระดับ)</t>
  </si>
  <si>
    <t>7.3 ประสิทธิผลการประกันคุณภาพโดยระบบอื่น*</t>
  </si>
  <si>
    <t>รวม (มาตรฐานที่ 7)</t>
  </si>
  <si>
    <t>8. มาตรฐานด้านความสัมพันธ์ของมหาวิทยาลัยกับสังคมและชุมชนภาคใต้*</t>
  </si>
  <si>
    <t>8.1 ร้อยละของจำนวนนักศึกษาชั้นปีที่ 1 ที่เข้าร่วมโครงการพิเศษเพื่อเปิดโอกาสทางการศึกษาให้เฉพาะผู้ที่มีภูมิลำเนาใน 14 จังหวัดภาคใต้ที่ขึ้นทะเบียนเป็นนักศึกษา</t>
  </si>
  <si>
    <t>8.3 ระดับความสำเร็จในการเปิดโอกาสให้ประชาชนเข้ามามีส่วนร่วมในการพัฒนาสถาบันการศึกษาระดับอุดมศึกษา (ระดับ)</t>
  </si>
  <si>
    <t>9.2  จำนวน joint-degree programs</t>
  </si>
  <si>
    <t>9.5 จำนวน co-advisors ที่เป็นชาวต่างประเทศ</t>
  </si>
  <si>
    <t>9.12 จำนวนนักศึกษาที่ไปทำวิทยานิพนธ์ (Thesis) ต่างประเทศ</t>
  </si>
  <si>
    <t>รวม (มาตรฐานที่ 9)</t>
  </si>
  <si>
    <t xml:space="preserve">9.1 ร้อยละของรายวิชาที่สอนเป็นภาษาอังกฤษหรือภาษาต่างประเทศอื่นๆ </t>
  </si>
  <si>
    <t>9.8  จำนวนโครงการวิจัยที่ทำร่วมกับชาวต่างประเทศ (Joint Research)</t>
  </si>
  <si>
    <t>9.9 จำนวนโครงการ/กิจกรรม ที่ทำร่วมกับต่างประเทศ</t>
  </si>
  <si>
    <t>9.10  จำนวนโครงการและผู้เข้าร่วมโครงการพัฒนาสมรรถนะสากลของนักศึกษาและบุคลากร(ด้านภาษาต่างประเทศ)</t>
  </si>
  <si>
    <t>รวม (มาตรฐานที่ 8)</t>
  </si>
  <si>
    <t>รวมคะแนนเฉลี่ยทั้ง 9 มาตรฐาน</t>
  </si>
  <si>
    <t>รวม (มาตรฐานที่ 1)</t>
  </si>
  <si>
    <t>รวม (มาตรฐานที่ 2)</t>
  </si>
  <si>
    <t>รวม (มาตรฐานที่ 3)</t>
  </si>
  <si>
    <t>รวม (มาตรฐานที่ 4)</t>
  </si>
  <si>
    <t>ผลการประเมินตนเอง
(คะแนน)</t>
  </si>
  <si>
    <t>ตารางแสดงผลการดำเนินงาน และผลการประเมินตามมาตรฐาน และตัวบ่งชี้</t>
  </si>
  <si>
    <t>ตัวชี้วัด (หน่วยวัด)</t>
  </si>
  <si>
    <t>ค่าน้ำ
หนัก</t>
  </si>
  <si>
    <t>ตั้ง 2547</t>
  </si>
  <si>
    <t>หาร 2547</t>
  </si>
  <si>
    <t>ตั้ง 2548</t>
  </si>
  <si>
    <t>หาร 2548</t>
  </si>
  <si>
    <t>ตั้ง 2549</t>
  </si>
  <si>
    <t>หาร 2549</t>
  </si>
  <si>
    <t>เทียบแผน (0,1)</t>
  </si>
  <si>
    <t>รวม 5 คะแนน</t>
  </si>
  <si>
    <t>1.1 ร้อยละของบัณฑิตระดับปริญญาตรีที่ได้งานทำและประกอบอาชีพอิสระภายใน 1 ปี</t>
  </si>
  <si>
    <t>1.6 จำนวนวิทยานิพนธ์/งานวิชาการของนักศึกษาที่ได้รับรางวัลในระดับชาติหรือระดับนานาชาติ (ชิ้นงาน)</t>
  </si>
  <si>
    <t>1.8 ร้อยละของบทความจากวิทยานิพนธ์ ปริญญาเอกที่ตีพิมพ์ เผยแพร่ต่อจำนวนวิทยานิพนธ์ปริญญาเอกทั้งหมด</t>
  </si>
  <si>
    <t>2.2  เงินสนับสนุนงานวิจัยและงานสร้างสรรค์ภายในสถาบันต่อจำนวนอาจารย์ประจำและนักวิจัย (บาทต่อคน)</t>
  </si>
  <si>
    <t>2.3 เงินสนับสนุนงานวิจัยและงานสร้างสรรค์ภายนอกสถาบันต่อจำนวนอาจารย์ประจำและนักวิจัย (บาทต่อคน)</t>
  </si>
  <si>
    <t>3.5 ความพึงพอใจของผู้รับบริการ *</t>
  </si>
  <si>
    <t>4.3 มีผลงานหรือชิ้นงานการพัฒนาองค์ความรู้ และสร้างมาตรฐานศิลปะและวัฒนธรรม(ชิ้นงาน)</t>
  </si>
  <si>
    <t>6.4 ร้อยละของอาจารย์ประจำทั้งหมดที่ดำรงตำแหน่งทางวิชาการ</t>
  </si>
  <si>
    <t>9. มาตรฐานด้านวิเทศสัมพันธ์ *</t>
  </si>
  <si>
    <t>9.3 จำนวนชาวต่างประเทศที่มาเยือนหรือปฏิบัติงานที่มหาวิทยาลัย</t>
  </si>
  <si>
    <t>9.11 จำนวน Joint Publication</t>
  </si>
  <si>
    <r>
      <t>&gt;</t>
    </r>
    <r>
      <rPr>
        <sz val="12"/>
        <rFont val="Angsana New"/>
        <family val="1"/>
      </rPr>
      <t xml:space="preserve"> 80</t>
    </r>
  </si>
  <si>
    <t>-</t>
  </si>
  <si>
    <r>
      <t>&gt;</t>
    </r>
    <r>
      <rPr>
        <sz val="12"/>
        <rFont val="Angsana New"/>
        <family val="1"/>
      </rPr>
      <t xml:space="preserve"> 2</t>
    </r>
  </si>
  <si>
    <t>1-39</t>
  </si>
  <si>
    <t>40-59</t>
  </si>
  <si>
    <r>
      <t>&gt;</t>
    </r>
    <r>
      <rPr>
        <sz val="12"/>
        <rFont val="Angsana New"/>
        <family val="1"/>
      </rPr>
      <t xml:space="preserve"> 60</t>
    </r>
  </si>
  <si>
    <t>1-49</t>
  </si>
  <si>
    <t>50-74</t>
  </si>
  <si>
    <r>
      <t>&gt;</t>
    </r>
    <r>
      <rPr>
        <sz val="12"/>
        <rFont val="Angsana New"/>
        <family val="1"/>
      </rPr>
      <t xml:space="preserve"> 75</t>
    </r>
  </si>
  <si>
    <t>1-19</t>
  </si>
  <si>
    <t>20-29</t>
  </si>
  <si>
    <r>
      <t>&gt;</t>
    </r>
    <r>
      <rPr>
        <sz val="12"/>
        <rFont val="Angsana New"/>
        <family val="1"/>
      </rPr>
      <t xml:space="preserve"> 30</t>
    </r>
  </si>
  <si>
    <t>1-19,999</t>
  </si>
  <si>
    <t>20,000-
29,999</t>
  </si>
  <si>
    <r>
      <t>&gt;</t>
    </r>
    <r>
      <rPr>
        <sz val="12"/>
        <rFont val="Angsana New"/>
        <family val="1"/>
      </rPr>
      <t xml:space="preserve"> 30,000</t>
    </r>
  </si>
  <si>
    <t>1-34,999</t>
  </si>
  <si>
    <t>35,000-
49,999</t>
  </si>
  <si>
    <r>
      <t>&gt;</t>
    </r>
    <r>
      <rPr>
        <sz val="12"/>
        <rFont val="Angsana New"/>
        <family val="1"/>
      </rPr>
      <t xml:space="preserve"> 50,000</t>
    </r>
  </si>
  <si>
    <t>1-34</t>
  </si>
  <si>
    <t>35-49</t>
  </si>
  <si>
    <r>
      <t>&gt;</t>
    </r>
    <r>
      <rPr>
        <sz val="12"/>
        <rFont val="Angsana New"/>
        <family val="1"/>
      </rPr>
      <t xml:space="preserve"> 50</t>
    </r>
  </si>
  <si>
    <t>1-24</t>
  </si>
  <si>
    <t>25-39</t>
  </si>
  <si>
    <r>
      <t>&gt;</t>
    </r>
    <r>
      <rPr>
        <sz val="12"/>
        <rFont val="Angsana New"/>
        <family val="1"/>
      </rPr>
      <t xml:space="preserve"> 40</t>
    </r>
  </si>
  <si>
    <t>1-14</t>
  </si>
  <si>
    <t>15-19</t>
  </si>
  <si>
    <r>
      <t>&gt;</t>
    </r>
    <r>
      <rPr>
        <sz val="12"/>
        <rFont val="Angsana New"/>
        <family val="1"/>
      </rPr>
      <t xml:space="preserve"> 20</t>
    </r>
  </si>
  <si>
    <t>15-24</t>
  </si>
  <si>
    <r>
      <t>&gt;</t>
    </r>
    <r>
      <rPr>
        <sz val="12"/>
        <rFont val="Angsana New"/>
        <family val="1"/>
      </rPr>
      <t xml:space="preserve"> 25</t>
    </r>
  </si>
  <si>
    <r>
      <t>&gt;</t>
    </r>
    <r>
      <rPr>
        <sz val="12"/>
        <rFont val="Angsana New"/>
        <family val="1"/>
      </rPr>
      <t xml:space="preserve"> 3</t>
    </r>
  </si>
  <si>
    <t>1-4,999</t>
  </si>
  <si>
    <r>
      <t>&gt;</t>
    </r>
    <r>
      <rPr>
        <sz val="12"/>
        <rFont val="Angsana New"/>
        <family val="1"/>
      </rPr>
      <t>7,500</t>
    </r>
  </si>
  <si>
    <t>5,000-
7,499</t>
  </si>
  <si>
    <t>61-70</t>
  </si>
  <si>
    <t>71-80</t>
  </si>
  <si>
    <t>&gt; 80</t>
  </si>
  <si>
    <t>1.0-1.4</t>
  </si>
  <si>
    <t>1.5-1.9</t>
  </si>
  <si>
    <r>
      <t>&gt;</t>
    </r>
    <r>
      <rPr>
        <sz val="12"/>
        <rFont val="Angsana New"/>
        <family val="1"/>
      </rPr>
      <t xml:space="preserve"> 2.0</t>
    </r>
  </si>
  <si>
    <t>1-3</t>
  </si>
  <si>
    <r>
      <t>&gt;</t>
    </r>
    <r>
      <rPr>
        <sz val="12"/>
        <rFont val="Angsana New"/>
        <family val="1"/>
      </rPr>
      <t xml:space="preserve"> 5</t>
    </r>
  </si>
  <si>
    <t>1-2</t>
  </si>
  <si>
    <t>1-9,999</t>
  </si>
  <si>
    <t>10,000-
14,999</t>
  </si>
  <si>
    <r>
      <t xml:space="preserve">&gt;
</t>
    </r>
    <r>
      <rPr>
        <sz val="12"/>
        <rFont val="Angsana New"/>
        <family val="1"/>
      </rPr>
      <t>15,000</t>
    </r>
  </si>
  <si>
    <t>1-54</t>
  </si>
  <si>
    <t>55-79</t>
  </si>
  <si>
    <t>1-79</t>
  </si>
  <si>
    <t>80-99</t>
  </si>
  <si>
    <t>45-69</t>
  </si>
  <si>
    <t>1-44</t>
  </si>
  <si>
    <r>
      <t>&gt;</t>
    </r>
    <r>
      <rPr>
        <sz val="12"/>
        <rFont val="Angsana New"/>
        <family val="1"/>
      </rPr>
      <t xml:space="preserve"> 70</t>
    </r>
  </si>
  <si>
    <t>3-4</t>
  </si>
  <si>
    <t>1.00-
2.49</t>
  </si>
  <si>
    <t>2.50-
3.49</t>
  </si>
  <si>
    <r>
      <t>&gt;</t>
    </r>
    <r>
      <rPr>
        <sz val="12"/>
        <rFont val="Angsana New"/>
        <family val="1"/>
      </rPr>
      <t xml:space="preserve"> 3.50</t>
    </r>
  </si>
  <si>
    <t>2-3</t>
  </si>
  <si>
    <t>4-5</t>
  </si>
  <si>
    <r>
      <t>&gt;</t>
    </r>
    <r>
      <rPr>
        <sz val="12"/>
        <rFont val="Angsana New"/>
        <family val="1"/>
      </rPr>
      <t xml:space="preserve"> +10%
</t>
    </r>
    <r>
      <rPr>
        <sz val="10"/>
        <rFont val="Angsana New"/>
        <family val="1"/>
      </rPr>
      <t>หรือ</t>
    </r>
    <r>
      <rPr>
        <sz val="12"/>
        <rFont val="Angsana New"/>
        <family val="1"/>
      </rPr>
      <t xml:space="preserve"> </t>
    </r>
    <r>
      <rPr>
        <u val="single"/>
        <sz val="12"/>
        <rFont val="Angsana New"/>
        <family val="1"/>
      </rPr>
      <t>&lt;</t>
    </r>
    <r>
      <rPr>
        <sz val="12"/>
        <rFont val="Angsana New"/>
        <family val="1"/>
      </rPr>
      <t xml:space="preserve"> -10%
</t>
    </r>
    <r>
      <rPr>
        <sz val="10"/>
        <rFont val="Angsana New"/>
        <family val="1"/>
      </rPr>
      <t>ของเกณฑ์</t>
    </r>
  </si>
  <si>
    <r>
      <t xml:space="preserve">(-5.99)-
(5.99)%
</t>
    </r>
    <r>
      <rPr>
        <sz val="10"/>
        <rFont val="Angsana New"/>
        <family val="1"/>
      </rPr>
      <t>ของเกณฑ์</t>
    </r>
  </si>
  <si>
    <t>5 มาตรฐานด้านการพัฒนาสถาบันและ
บุคลากร</t>
  </si>
  <si>
    <t>9.6 จำนวนบุคลากร/นักศึกษาของมหาวิทยาลัย
ที่ไปต่างประเทศ (คน/จำนวนครั้ง)</t>
  </si>
  <si>
    <t>9.7  จำนวนบุคลากรของมหาวิทยาลัยที่เป็น
Advisors/ Co-advisors ให้สถาบันต่างประเทศ</t>
  </si>
  <si>
    <t>9.4 จำนวนนักศึกษาชาวต่างประเทศที่มาฝึกงาน
ทำวิจัย หรือศึกษาที่มหาวิทยาลัยทุกลักษณะ</t>
  </si>
  <si>
    <t>6.10  ประสิทธิผลของการปฏิบัติตามคุณธรรม จริยธรรมและวินัยนักศึกษา*
(ร้อยละของนศ.ที่ไม่ถูกลงโทษทางวินัย)</t>
  </si>
  <si>
    <t>&gt;</t>
  </si>
  <si>
    <t>5.13 จำนวนครั้งของความไม่ปลอดภัยในชีวิตและทรัพย์สิน (ภายในภาควิชา/หน่วยงาน) *</t>
  </si>
  <si>
    <r>
      <t xml:space="preserve">6-9.99%
</t>
    </r>
    <r>
      <rPr>
        <sz val="10"/>
        <rFont val="Angsana New"/>
        <family val="1"/>
      </rPr>
      <t>และ</t>
    </r>
    <r>
      <rPr>
        <sz val="12"/>
        <rFont val="Angsana New"/>
        <family val="1"/>
      </rPr>
      <t xml:space="preserve">
(-6)
-(-9.99)%
</t>
    </r>
    <r>
      <rPr>
        <sz val="10"/>
        <rFont val="Angsana New"/>
        <family val="1"/>
      </rPr>
      <t>ของเกณฑ์</t>
    </r>
  </si>
  <si>
    <t>อธิบายสัญลักษณ์</t>
  </si>
  <si>
    <t>(1) หมายถึง การกำหนดเป้าหมายโดยอิงตามข้อตกลงกับ ก.พ.ร.</t>
  </si>
  <si>
    <t>(2) หมายถึง การกำหนดเป้าหมายโดยอิงตาม KPIs ของคณะวิศวกรรมศาสตร์</t>
  </si>
  <si>
    <t>(3) หมายถึง การกำหนดเป้าหมายโดยอิงตามผลการดำเนินงานปีการศึกษา 2547</t>
  </si>
  <si>
    <t>(6) หมายถึง การกำหนดเป้าหมาย โดยอิงผลการดำเนินงานจากการประเมินรอบแรก</t>
  </si>
  <si>
    <t>(7) หมายถึง การกำหนดเป้าหมายโดยอิงตามเกณฑ์ของ สมศ.</t>
  </si>
  <si>
    <t>1-59</t>
  </si>
  <si>
    <t>60-79</t>
  </si>
  <si>
    <t>1-74</t>
  </si>
  <si>
    <t>75-99</t>
  </si>
  <si>
    <t>4. มาตรฐานด้านการทำนุบำรุงศิลปวัฒนธรรม</t>
  </si>
  <si>
    <t>1-2.4</t>
  </si>
  <si>
    <t>2.5-3.4</t>
  </si>
  <si>
    <r>
      <t>&gt;</t>
    </r>
    <r>
      <rPr>
        <sz val="12"/>
        <rFont val="Angsana New"/>
        <family val="1"/>
      </rPr>
      <t>3.5</t>
    </r>
  </si>
  <si>
    <t>1-5</t>
  </si>
  <si>
    <r>
      <t>&gt;</t>
    </r>
    <r>
      <rPr>
        <sz val="12"/>
        <rFont val="Angsana New"/>
        <family val="1"/>
      </rPr>
      <t>9</t>
    </r>
  </si>
  <si>
    <t>6-8</t>
  </si>
  <si>
    <r>
      <t>&gt;</t>
    </r>
    <r>
      <rPr>
        <sz val="12"/>
        <rFont val="Angsana New"/>
        <family val="1"/>
      </rPr>
      <t>3</t>
    </r>
  </si>
  <si>
    <r>
      <t>&gt;</t>
    </r>
    <r>
      <rPr>
        <sz val="12"/>
        <rFont val="Angsana New"/>
        <family val="1"/>
      </rPr>
      <t>1.00% ของงบดำเนิน
การ</t>
    </r>
  </si>
  <si>
    <t>0.01-0.49% ของงบดำเนิน
การ</t>
  </si>
  <si>
    <t>0.50-0.99% ของงบดำเนิน
การ</t>
  </si>
  <si>
    <r>
      <t>&gt;</t>
    </r>
    <r>
      <rPr>
        <sz val="12"/>
        <rFont val="Angsana New"/>
        <family val="1"/>
      </rPr>
      <t>4</t>
    </r>
  </si>
  <si>
    <t>3</t>
  </si>
  <si>
    <t>1-64,999</t>
  </si>
  <si>
    <t>65,000-
99,999</t>
  </si>
  <si>
    <r>
      <t>&gt;</t>
    </r>
    <r>
      <rPr>
        <sz val="12"/>
        <rFont val="Angsana New"/>
        <family val="1"/>
      </rPr>
      <t xml:space="preserve">
100,000</t>
    </r>
  </si>
  <si>
    <r>
      <t>&gt;</t>
    </r>
    <r>
      <rPr>
        <sz val="12"/>
        <rFont val="Angsana New"/>
        <family val="1"/>
      </rPr>
      <t xml:space="preserve">+10% หรือ
</t>
    </r>
    <r>
      <rPr>
        <u val="single"/>
        <sz val="12"/>
        <rFont val="Angsana New"/>
        <family val="1"/>
      </rPr>
      <t>&lt;</t>
    </r>
    <r>
      <rPr>
        <sz val="12"/>
        <rFont val="Angsana New"/>
        <family val="1"/>
      </rPr>
      <t xml:space="preserve"> -10% 
ของเกณฑ์</t>
    </r>
  </si>
  <si>
    <t>5-9.99%
และ(-5)
-(-9.99)%
ของเกณฑ์</t>
  </si>
  <si>
    <t>(-4.99)-
(4.99)%
ของเกณฑ์</t>
  </si>
  <si>
    <t>1-4% ของ
งบดำเนินการ</t>
  </si>
  <si>
    <t>+5-9% หรือ
&gt;15% ของงบดำเนินการ</t>
  </si>
  <si>
    <t>+10-15%
ของ
งบดำเนินการ</t>
  </si>
  <si>
    <t>1-4,499</t>
  </si>
  <si>
    <t>4,500-
6,999</t>
  </si>
  <si>
    <r>
      <t>&gt;</t>
    </r>
    <r>
      <rPr>
        <sz val="12"/>
        <rFont val="Angsana New"/>
        <family val="1"/>
      </rPr>
      <t>7,000</t>
    </r>
  </si>
  <si>
    <t>31-40</t>
  </si>
  <si>
    <t>41-50</t>
  </si>
  <si>
    <t>&gt;50</t>
  </si>
  <si>
    <r>
      <t>&gt;</t>
    </r>
    <r>
      <rPr>
        <sz val="12"/>
        <rFont val="Angsana New"/>
        <family val="1"/>
      </rPr>
      <t>5</t>
    </r>
  </si>
  <si>
    <t>ตารางสรุปคะแนนและผลการประเมินรายมาตรฐานของกลุ่มสาขาวิศวกรรมศาสตร์</t>
  </si>
  <si>
    <t>ลำดับที่</t>
  </si>
  <si>
    <t>ชื่อมาตรฐาน</t>
  </si>
  <si>
    <t xml:space="preserve">น้ำหนัก </t>
  </si>
  <si>
    <t>คะแนนที่ได้</t>
  </si>
  <si>
    <t>ผลการประเมิน</t>
  </si>
  <si>
    <t>มาตรฐานด้านคุณภาพบัณฑิต</t>
  </si>
  <si>
    <t>มาตรฐานด้านงานวิจัยและงานสร้างสรรค์</t>
  </si>
  <si>
    <t>มาตรฐานด้านการบริการวิชาการ</t>
  </si>
  <si>
    <t>มาตรฐานด้านการทำนุบำรุงศิลปะและวัฒนธรรม</t>
  </si>
  <si>
    <t>ค่าเฉลี่ยถ่วงน้ำหนัก 4 มาตรฐานแรก</t>
  </si>
  <si>
    <t>มาตรฐานด้านการพัฒนาสถาบันและบุคลากร</t>
  </si>
  <si>
    <t>มาตรฐานด้านหลักสูตรและการเรียนการสอน</t>
  </si>
  <si>
    <t>มาตรฐานด้านระบบการประกันคุณภาพ</t>
  </si>
  <si>
    <t>ค่าเฉลี่ยถ่วงน้ำหนัก 7 มาตรฐาน</t>
  </si>
  <si>
    <t>มาตรฐานด้านความสัมพันธ์ของมหาวิทยาลัยกับสังคมและชุมชนภาคใต้ *</t>
  </si>
  <si>
    <t>มาตรฐานด้านวิเทศสัมพันธ์ *</t>
  </si>
  <si>
    <t>ค่าเฉลี่ยถ่วงน้ำหนัก 9 มาตรฐาน</t>
  </si>
  <si>
    <t>ผลการประเมินระดับกลุ่มสาขาวิศวกรรมศาสตร์</t>
  </si>
  <si>
    <t>(2),
(4)</t>
  </si>
  <si>
    <t>(2),
(3)</t>
  </si>
  <si>
    <t>(3),
(4)</t>
  </si>
  <si>
    <t>(2),
(3),
(4)</t>
  </si>
  <si>
    <t>8.2 จำนวนโครงการที่คณะ/หน่วยงานร่วมมือกับหน่วยงานต่างๆ หรือกับสังคมและชุมชนเพื่อพัฒนาสังคมและชุมชนภาคใต้</t>
  </si>
  <si>
    <t>(5) หมายถึง  การกำหนดเป้าหมายโดยอิงตามเหตุผลและความจำเป็นที่เหมาะสมของแต่ละตัวบ่งชี้</t>
  </si>
  <si>
    <t>(4) หมายถึง การกำหนดเป้าหมายโดยอิงตามนโยบาย และแผนกลยุทธ์การดำเนินงานของคณะวิศวกรรมศาสตร์</t>
  </si>
  <si>
    <t>(9) หมายถึง การกำหนดเป้าหมาย โดยอิงตามเกณฑ์ของ สกอ.</t>
  </si>
  <si>
    <t>(3),
(8)</t>
  </si>
  <si>
    <t>&lt;</t>
  </si>
  <si>
    <t>=</t>
  </si>
  <si>
    <t>คำอธิบายเหตุผลเพิ่มเติมประกอบการกำหนดเป้าหมาย</t>
  </si>
  <si>
    <t>ตัวบ่งชี้ 6.10 เนื่องจากมีจำนวนไม่แน่นอน และไม่สามารถแสดงให้เห็นแนวโน้มที่ชัดเจนได้</t>
  </si>
  <si>
    <t>(4),
(8)</t>
  </si>
  <si>
    <t>ตัวบ่งชี้ 1.7 และตัวบ่งชี้ที่ 1.8 เนื่องจากจำนวนบทความวิทยานิพนธ์เป็นการนับจำนวนวิทยานิพนธ์สะสมที่มีการนำเสนอในปีนั้น ๆ ซึ่งมีจำนวนไม่แน่นอน และไม่สามารถแสดงให้เห็นแนวโน้มที่ชัดเจนได้</t>
  </si>
  <si>
    <t>ตัวบ่งชี้ 6.9 เป็นการปรับตามสัดส่วนให้สอดคล้องกับข้อกำหนดของข้อมูลเฉพาะในส่วนที่ดำเนินการโดยคณะฯ เท่านั้น</t>
  </si>
  <si>
    <t>(8) หมายถึง การกำหนดเป้าหมาย โดยปรับปรุงให้เหมาะสมกับนิยามใหม่</t>
  </si>
  <si>
    <t>90.00-94.99</t>
  </si>
  <si>
    <t>95.00-99.49</t>
  </si>
  <si>
    <t>99.50-100.00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</si>
</sst>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"/>
    <numFmt numFmtId="200" formatCode="&quot;ใช่&quot;;&quot;ใช่&quot;;&quot;ไม่ใช่&quot;"/>
    <numFmt numFmtId="201" formatCode="&quot;จริง&quot;;&quot;จริง&quot;;&quot;เท็จ&quot;"/>
    <numFmt numFmtId="202" formatCode="&quot;เปิด&quot;;&quot;เปิด&quot;;&quot;ปิด&quot;"/>
    <numFmt numFmtId="203" formatCode="[$€-2]\ #,##0.00_);[Red]\([$€-2]\ #,##0.00\)"/>
    <numFmt numFmtId="204" formatCode="#,##0.000"/>
    <numFmt numFmtId="205" formatCode="#,##0.0000"/>
    <numFmt numFmtId="206" formatCode="#,##0.00000"/>
    <numFmt numFmtId="207" formatCode="\(0\)"/>
    <numFmt numFmtId="208" formatCode="0.0"/>
    <numFmt numFmtId="209" formatCode="0.00_);\(0.00\)"/>
    <numFmt numFmtId="210" formatCode="0.000"/>
    <numFmt numFmtId="211" formatCode="0.0000"/>
    <numFmt numFmtId="212" formatCode="0.00000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4"/>
      <color indexed="10"/>
      <name val="Angsana New"/>
      <family val="1"/>
    </font>
    <font>
      <b/>
      <sz val="14"/>
      <color indexed="10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sz val="12"/>
      <name val="Arial"/>
      <family val="0"/>
    </font>
    <font>
      <u val="single"/>
      <sz val="12"/>
      <name val="Angsana New"/>
      <family val="1"/>
    </font>
    <font>
      <sz val="10"/>
      <name val="Angsana New"/>
      <family val="1"/>
    </font>
    <font>
      <u val="single"/>
      <sz val="14"/>
      <name val="Angsana New"/>
      <family val="1"/>
    </font>
    <font>
      <b/>
      <sz val="10"/>
      <name val="Arial"/>
      <family val="2"/>
    </font>
    <font>
      <b/>
      <sz val="16"/>
      <name val="Angsana New"/>
      <family val="1"/>
    </font>
    <font>
      <sz val="16"/>
      <name val="Angsana New"/>
      <family val="1"/>
    </font>
    <font>
      <sz val="13"/>
      <name val="Angsana New"/>
      <family val="1"/>
    </font>
    <font>
      <sz val="13"/>
      <color indexed="10"/>
      <name val="Angsana New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4" fontId="5" fillId="0" borderId="1" xfId="22" applyNumberFormat="1" applyFont="1" applyFill="1" applyBorder="1" applyAlignment="1">
      <alignment horizontal="center" vertical="center"/>
      <protection/>
    </xf>
    <xf numFmtId="4" fontId="5" fillId="2" borderId="1" xfId="22" applyNumberFormat="1" applyFont="1" applyFill="1" applyBorder="1" applyAlignment="1">
      <alignment horizontal="center" vertical="center"/>
      <protection/>
    </xf>
    <xf numFmtId="3" fontId="5" fillId="0" borderId="1" xfId="22" applyNumberFormat="1" applyFont="1" applyFill="1" applyBorder="1" applyAlignment="1">
      <alignment horizontal="center"/>
      <protection/>
    </xf>
    <xf numFmtId="4" fontId="5" fillId="0" borderId="1" xfId="22" applyNumberFormat="1" applyFont="1" applyFill="1" applyBorder="1" applyAlignment="1">
      <alignment horizontal="center" vertical="center" textRotation="90" wrapText="1"/>
      <protection/>
    </xf>
    <xf numFmtId="0" fontId="5" fillId="0" borderId="0" xfId="22" applyFont="1" applyFill="1" applyBorder="1" applyAlignment="1">
      <alignment horizontal="center" vertical="top" wrapText="1"/>
      <protection/>
    </xf>
    <xf numFmtId="0" fontId="5" fillId="0" borderId="0" xfId="22" applyFont="1" applyFill="1" applyBorder="1" applyAlignment="1">
      <alignment horizontal="center" vertical="top"/>
      <protection/>
    </xf>
    <xf numFmtId="0" fontId="5" fillId="0" borderId="0" xfId="22" applyFont="1" applyFill="1" applyBorder="1" applyAlignment="1">
      <alignment horizontal="right" vertical="top"/>
      <protection/>
    </xf>
    <xf numFmtId="3" fontId="5" fillId="0" borderId="0" xfId="22" applyNumberFormat="1" applyFont="1" applyFill="1" applyBorder="1" applyAlignment="1">
      <alignment horizontal="right" vertical="top"/>
      <protection/>
    </xf>
    <xf numFmtId="0" fontId="5" fillId="0" borderId="0" xfId="22" applyFont="1" applyFill="1" applyBorder="1" applyAlignment="1">
      <alignment vertical="top"/>
      <protection/>
    </xf>
    <xf numFmtId="0" fontId="10" fillId="0" borderId="0" xfId="22" applyFont="1" applyFill="1" applyBorder="1" applyAlignment="1">
      <alignment vertical="top"/>
      <protection/>
    </xf>
    <xf numFmtId="0" fontId="5" fillId="0" borderId="2" xfId="22" applyFont="1" applyFill="1" applyBorder="1" applyAlignment="1">
      <alignment vertical="top" wrapText="1"/>
      <protection/>
    </xf>
    <xf numFmtId="0" fontId="6" fillId="0" borderId="2" xfId="22" applyFont="1" applyFill="1" applyBorder="1" applyAlignment="1">
      <alignment vertical="top" wrapText="1"/>
      <protection/>
    </xf>
    <xf numFmtId="4" fontId="6" fillId="0" borderId="2" xfId="22" applyNumberFormat="1" applyFont="1" applyFill="1" applyBorder="1" applyAlignment="1">
      <alignment horizontal="center" vertical="top"/>
      <protection/>
    </xf>
    <xf numFmtId="4" fontId="6" fillId="0" borderId="2" xfId="22" applyNumberFormat="1" applyFont="1" applyFill="1" applyBorder="1" applyAlignment="1">
      <alignment horizontal="center" vertical="top" wrapText="1"/>
      <protection/>
    </xf>
    <xf numFmtId="4" fontId="9" fillId="0" borderId="2" xfId="22" applyNumberFormat="1" applyFont="1" applyFill="1" applyBorder="1" applyAlignment="1">
      <alignment horizontal="center" vertical="top"/>
      <protection/>
    </xf>
    <xf numFmtId="3" fontId="6" fillId="0" borderId="2" xfId="22" applyNumberFormat="1" applyFont="1" applyFill="1" applyBorder="1" applyAlignment="1">
      <alignment horizontal="center" vertical="top"/>
      <protection/>
    </xf>
    <xf numFmtId="0" fontId="6" fillId="0" borderId="2" xfId="22" applyNumberFormat="1" applyFont="1" applyFill="1" applyBorder="1" applyAlignment="1">
      <alignment horizontal="center" vertical="top" wrapText="1"/>
      <protection/>
    </xf>
    <xf numFmtId="0" fontId="6" fillId="0" borderId="2" xfId="22" applyFont="1" applyFill="1" applyBorder="1" applyAlignment="1">
      <alignment horizontal="left" vertical="top" wrapText="1"/>
      <protection/>
    </xf>
    <xf numFmtId="0" fontId="5" fillId="0" borderId="3" xfId="22" applyFont="1" applyFill="1" applyBorder="1" applyAlignment="1">
      <alignment vertical="top" wrapText="1"/>
      <protection/>
    </xf>
    <xf numFmtId="4" fontId="5" fillId="0" borderId="3" xfId="22" applyNumberFormat="1" applyFont="1" applyFill="1" applyBorder="1" applyAlignment="1">
      <alignment horizontal="center" vertical="top"/>
      <protection/>
    </xf>
    <xf numFmtId="4" fontId="5" fillId="0" borderId="3" xfId="22" applyNumberFormat="1" applyFont="1" applyFill="1" applyBorder="1" applyAlignment="1">
      <alignment horizontal="center" vertical="top" wrapText="1"/>
      <protection/>
    </xf>
    <xf numFmtId="4" fontId="10" fillId="0" borderId="3" xfId="22" applyNumberFormat="1" applyFont="1" applyFill="1" applyBorder="1" applyAlignment="1">
      <alignment horizontal="center" vertical="top"/>
      <protection/>
    </xf>
    <xf numFmtId="0" fontId="5" fillId="0" borderId="1" xfId="22" applyFont="1" applyFill="1" applyBorder="1" applyAlignment="1">
      <alignment vertical="top" wrapText="1"/>
      <protection/>
    </xf>
    <xf numFmtId="4" fontId="5" fillId="0" borderId="1" xfId="22" applyNumberFormat="1" applyFont="1" applyFill="1" applyBorder="1" applyAlignment="1">
      <alignment horizontal="center" vertical="top"/>
      <protection/>
    </xf>
    <xf numFmtId="4" fontId="10" fillId="0" borderId="1" xfId="22" applyNumberFormat="1" applyFont="1" applyFill="1" applyBorder="1" applyAlignment="1">
      <alignment horizontal="left" vertical="top" wrapText="1"/>
      <protection/>
    </xf>
    <xf numFmtId="4" fontId="5" fillId="0" borderId="1" xfId="22" applyNumberFormat="1" applyFont="1" applyFill="1" applyBorder="1" applyAlignment="1">
      <alignment horizontal="center" vertical="top" wrapText="1"/>
      <protection/>
    </xf>
    <xf numFmtId="4" fontId="10" fillId="0" borderId="1" xfId="22" applyNumberFormat="1" applyFont="1" applyFill="1" applyBorder="1" applyAlignment="1">
      <alignment horizontal="center" vertical="top"/>
      <protection/>
    </xf>
    <xf numFmtId="0" fontId="6" fillId="0" borderId="3" xfId="22" applyFont="1" applyFill="1" applyBorder="1" applyAlignment="1">
      <alignment vertical="top" wrapText="1"/>
      <protection/>
    </xf>
    <xf numFmtId="4" fontId="6" fillId="0" borderId="3" xfId="22" applyNumberFormat="1" applyFont="1" applyFill="1" applyBorder="1" applyAlignment="1">
      <alignment horizontal="center" vertical="top" wrapText="1"/>
      <protection/>
    </xf>
    <xf numFmtId="4" fontId="6" fillId="0" borderId="3" xfId="17" applyNumberFormat="1" applyFont="1" applyFill="1" applyBorder="1" applyAlignment="1">
      <alignment horizontal="center" vertical="top"/>
    </xf>
    <xf numFmtId="4" fontId="9" fillId="0" borderId="3" xfId="22" applyNumberFormat="1" applyFont="1" applyFill="1" applyBorder="1" applyAlignment="1">
      <alignment horizontal="center" vertical="top"/>
      <protection/>
    </xf>
    <xf numFmtId="3" fontId="6" fillId="0" borderId="3" xfId="22" applyNumberFormat="1" applyFont="1" applyFill="1" applyBorder="1" applyAlignment="1">
      <alignment horizontal="center" vertical="top"/>
      <protection/>
    </xf>
    <xf numFmtId="4" fontId="6" fillId="0" borderId="3" xfId="22" applyNumberFormat="1" applyFont="1" applyFill="1" applyBorder="1" applyAlignment="1">
      <alignment horizontal="center" vertical="top"/>
      <protection/>
    </xf>
    <xf numFmtId="0" fontId="6" fillId="0" borderId="4" xfId="22" applyFont="1" applyFill="1" applyBorder="1" applyAlignment="1">
      <alignment vertical="top" wrapText="1"/>
      <protection/>
    </xf>
    <xf numFmtId="4" fontId="6" fillId="0" borderId="4" xfId="22" applyNumberFormat="1" applyFont="1" applyFill="1" applyBorder="1" applyAlignment="1">
      <alignment horizontal="center" vertical="top"/>
      <protection/>
    </xf>
    <xf numFmtId="4" fontId="6" fillId="0" borderId="4" xfId="22" applyNumberFormat="1" applyFont="1" applyFill="1" applyBorder="1" applyAlignment="1">
      <alignment horizontal="center" vertical="top" wrapText="1"/>
      <protection/>
    </xf>
    <xf numFmtId="4" fontId="9" fillId="0" borderId="4" xfId="22" applyNumberFormat="1" applyFont="1" applyFill="1" applyBorder="1" applyAlignment="1">
      <alignment horizontal="center" vertical="top"/>
      <protection/>
    </xf>
    <xf numFmtId="3" fontId="6" fillId="0" borderId="4" xfId="22" applyNumberFormat="1" applyFont="1" applyFill="1" applyBorder="1" applyAlignment="1">
      <alignment horizontal="center" vertical="top"/>
      <protection/>
    </xf>
    <xf numFmtId="0" fontId="6" fillId="0" borderId="5" xfId="22" applyFont="1" applyFill="1" applyBorder="1" applyAlignment="1">
      <alignment vertical="top" wrapText="1"/>
      <protection/>
    </xf>
    <xf numFmtId="4" fontId="6" fillId="0" borderId="5" xfId="22" applyNumberFormat="1" applyFont="1" applyFill="1" applyBorder="1" applyAlignment="1">
      <alignment horizontal="center" vertical="top"/>
      <protection/>
    </xf>
    <xf numFmtId="4" fontId="6" fillId="0" borderId="5" xfId="22" applyNumberFormat="1" applyFont="1" applyFill="1" applyBorder="1" applyAlignment="1">
      <alignment horizontal="center" vertical="top" wrapText="1"/>
      <protection/>
    </xf>
    <xf numFmtId="4" fontId="9" fillId="0" borderId="5" xfId="22" applyNumberFormat="1" applyFont="1" applyFill="1" applyBorder="1" applyAlignment="1">
      <alignment horizontal="center" vertical="top"/>
      <protection/>
    </xf>
    <xf numFmtId="3" fontId="6" fillId="0" borderId="5" xfId="22" applyNumberFormat="1" applyFont="1" applyFill="1" applyBorder="1" applyAlignment="1">
      <alignment horizontal="center" vertical="top"/>
      <protection/>
    </xf>
    <xf numFmtId="3" fontId="5" fillId="0" borderId="3" xfId="22" applyNumberFormat="1" applyFont="1" applyFill="1" applyBorder="1" applyAlignment="1">
      <alignment horizontal="center" vertical="top"/>
      <protection/>
    </xf>
    <xf numFmtId="0" fontId="5" fillId="0" borderId="1" xfId="22" applyFont="1" applyFill="1" applyBorder="1" applyAlignment="1">
      <alignment horizontal="center" vertical="top" wrapText="1"/>
      <protection/>
    </xf>
    <xf numFmtId="4" fontId="6" fillId="0" borderId="1" xfId="22" applyNumberFormat="1" applyFont="1" applyFill="1" applyBorder="1" applyAlignment="1">
      <alignment horizontal="center" vertical="top"/>
      <protection/>
    </xf>
    <xf numFmtId="4" fontId="6" fillId="0" borderId="1" xfId="22" applyNumberFormat="1" applyFont="1" applyFill="1" applyBorder="1" applyAlignment="1">
      <alignment horizontal="center" vertical="top" wrapText="1"/>
      <protection/>
    </xf>
    <xf numFmtId="4" fontId="6" fillId="0" borderId="1" xfId="17" applyNumberFormat="1" applyFont="1" applyFill="1" applyBorder="1" applyAlignment="1">
      <alignment horizontal="center" vertical="top"/>
    </xf>
    <xf numFmtId="4" fontId="9" fillId="0" borderId="1" xfId="22" applyNumberFormat="1" applyFont="1" applyFill="1" applyBorder="1" applyAlignment="1">
      <alignment horizontal="center" vertical="top"/>
      <protection/>
    </xf>
    <xf numFmtId="3" fontId="6" fillId="0" borderId="1" xfId="22" applyNumberFormat="1" applyFont="1" applyFill="1" applyBorder="1" applyAlignment="1">
      <alignment horizontal="center" vertical="top"/>
      <protection/>
    </xf>
    <xf numFmtId="4" fontId="8" fillId="0" borderId="1" xfId="22" applyNumberFormat="1" applyFont="1" applyFill="1" applyBorder="1" applyAlignment="1">
      <alignment horizontal="center" vertical="top" wrapText="1"/>
      <protection/>
    </xf>
    <xf numFmtId="3" fontId="5" fillId="0" borderId="1" xfId="22" applyNumberFormat="1" applyFont="1" applyFill="1" applyBorder="1" applyAlignment="1">
      <alignment horizontal="center" vertical="top"/>
      <protection/>
    </xf>
    <xf numFmtId="3" fontId="6" fillId="0" borderId="6" xfId="22" applyNumberFormat="1" applyFont="1" applyFill="1" applyBorder="1" applyAlignment="1">
      <alignment horizontal="center" vertical="top"/>
      <protection/>
    </xf>
    <xf numFmtId="0" fontId="5" fillId="0" borderId="7" xfId="22" applyFont="1" applyFill="1" applyBorder="1" applyAlignment="1">
      <alignment vertical="top" wrapText="1"/>
      <protection/>
    </xf>
    <xf numFmtId="4" fontId="5" fillId="0" borderId="7" xfId="22" applyNumberFormat="1" applyFont="1" applyFill="1" applyBorder="1" applyAlignment="1">
      <alignment horizontal="center" vertical="top"/>
      <protection/>
    </xf>
    <xf numFmtId="4" fontId="5" fillId="0" borderId="7" xfId="22" applyNumberFormat="1" applyFont="1" applyFill="1" applyBorder="1" applyAlignment="1">
      <alignment horizontal="center" vertical="top" wrapText="1"/>
      <protection/>
    </xf>
    <xf numFmtId="4" fontId="10" fillId="0" borderId="7" xfId="22" applyNumberFormat="1" applyFont="1" applyFill="1" applyBorder="1" applyAlignment="1">
      <alignment horizontal="center" vertical="top"/>
      <protection/>
    </xf>
    <xf numFmtId="3" fontId="5" fillId="0" borderId="7" xfId="22" applyNumberFormat="1" applyFont="1" applyFill="1" applyBorder="1" applyAlignment="1">
      <alignment horizontal="center" vertical="top"/>
      <protection/>
    </xf>
    <xf numFmtId="0" fontId="6" fillId="0" borderId="5" xfId="22" applyFont="1" applyFill="1" applyBorder="1" applyAlignment="1">
      <alignment horizontal="left" vertical="top" wrapText="1"/>
      <protection/>
    </xf>
    <xf numFmtId="0" fontId="6" fillId="0" borderId="5" xfId="22" applyNumberFormat="1" applyFont="1" applyFill="1" applyBorder="1" applyAlignment="1">
      <alignment horizontal="center" vertical="top" wrapText="1"/>
      <protection/>
    </xf>
    <xf numFmtId="0" fontId="6" fillId="0" borderId="1" xfId="22" applyNumberFormat="1" applyFont="1" applyFill="1" applyBorder="1" applyAlignment="1">
      <alignment horizontal="center" vertical="top"/>
      <protection/>
    </xf>
    <xf numFmtId="0" fontId="6" fillId="0" borderId="1" xfId="22" applyNumberFormat="1" applyFont="1" applyFill="1" applyBorder="1" applyAlignment="1">
      <alignment horizontal="center" vertical="top" wrapText="1"/>
      <protection/>
    </xf>
    <xf numFmtId="0" fontId="6" fillId="0" borderId="3" xfId="22" applyFont="1" applyFill="1" applyBorder="1" applyAlignment="1">
      <alignment horizontal="left" vertical="top" wrapText="1"/>
      <protection/>
    </xf>
    <xf numFmtId="0" fontId="5" fillId="0" borderId="1" xfId="22" applyFont="1" applyFill="1" applyBorder="1" applyAlignment="1">
      <alignment horizontal="left" vertical="top" wrapText="1"/>
      <protection/>
    </xf>
    <xf numFmtId="3" fontId="9" fillId="0" borderId="2" xfId="22" applyNumberFormat="1" applyFont="1" applyFill="1" applyBorder="1" applyAlignment="1">
      <alignment horizontal="center" vertical="top"/>
      <protection/>
    </xf>
    <xf numFmtId="4" fontId="12" fillId="0" borderId="2" xfId="22" applyNumberFormat="1" applyFont="1" applyFill="1" applyBorder="1" applyAlignment="1">
      <alignment horizontal="center" vertical="top"/>
      <protection/>
    </xf>
    <xf numFmtId="4" fontId="9" fillId="0" borderId="2" xfId="22" applyNumberFormat="1" applyFont="1" applyFill="1" applyBorder="1" applyAlignment="1" quotePrefix="1">
      <alignment horizontal="center" vertical="top"/>
      <protection/>
    </xf>
    <xf numFmtId="4" fontId="9" fillId="0" borderId="2" xfId="22" applyNumberFormat="1" applyFont="1" applyFill="1" applyBorder="1" applyAlignment="1">
      <alignment horizontal="center" vertical="top" wrapText="1"/>
      <protection/>
    </xf>
    <xf numFmtId="4" fontId="9" fillId="0" borderId="2" xfId="22" applyNumberFormat="1" applyFont="1" applyFill="1" applyBorder="1" applyAlignment="1" quotePrefix="1">
      <alignment horizontal="center" vertical="top" wrapText="1"/>
      <protection/>
    </xf>
    <xf numFmtId="0" fontId="0" fillId="0" borderId="0" xfId="0" applyFill="1" applyAlignment="1">
      <alignment/>
    </xf>
    <xf numFmtId="4" fontId="9" fillId="3" borderId="3" xfId="22" applyNumberFormat="1" applyFont="1" applyFill="1" applyBorder="1" applyAlignment="1">
      <alignment horizontal="center" vertical="top"/>
      <protection/>
    </xf>
    <xf numFmtId="3" fontId="6" fillId="3" borderId="3" xfId="22" applyNumberFormat="1" applyFont="1" applyFill="1" applyBorder="1" applyAlignment="1">
      <alignment horizontal="center" vertical="top"/>
      <protection/>
    </xf>
    <xf numFmtId="4" fontId="9" fillId="3" borderId="2" xfId="22" applyNumberFormat="1" applyFont="1" applyFill="1" applyBorder="1" applyAlignment="1">
      <alignment horizontal="center" vertical="top"/>
      <protection/>
    </xf>
    <xf numFmtId="3" fontId="6" fillId="3" borderId="2" xfId="22" applyNumberFormat="1" applyFont="1" applyFill="1" applyBorder="1" applyAlignment="1">
      <alignment horizontal="center" vertical="top"/>
      <protection/>
    </xf>
    <xf numFmtId="4" fontId="9" fillId="3" borderId="5" xfId="22" applyNumberFormat="1" applyFont="1" applyFill="1" applyBorder="1" applyAlignment="1">
      <alignment horizontal="center" vertical="top"/>
      <protection/>
    </xf>
    <xf numFmtId="3" fontId="6" fillId="3" borderId="5" xfId="22" applyNumberFormat="1" applyFont="1" applyFill="1" applyBorder="1" applyAlignment="1">
      <alignment horizontal="center" vertical="top"/>
      <protection/>
    </xf>
    <xf numFmtId="4" fontId="9" fillId="0" borderId="4" xfId="22" applyNumberFormat="1" applyFont="1" applyFill="1" applyBorder="1" applyAlignment="1" quotePrefix="1">
      <alignment horizontal="center" vertical="top"/>
      <protection/>
    </xf>
    <xf numFmtId="4" fontId="9" fillId="0" borderId="3" xfId="22" applyNumberFormat="1" applyFont="1" applyFill="1" applyBorder="1" applyAlignment="1" quotePrefix="1">
      <alignment horizontal="center" vertical="top"/>
      <protection/>
    </xf>
    <xf numFmtId="4" fontId="12" fillId="0" borderId="3" xfId="22" applyNumberFormat="1" applyFont="1" applyFill="1" applyBorder="1" applyAlignment="1">
      <alignment horizontal="center" vertical="top"/>
      <protection/>
    </xf>
    <xf numFmtId="3" fontId="9" fillId="0" borderId="3" xfId="22" applyNumberFormat="1" applyFont="1" applyFill="1" applyBorder="1" applyAlignment="1">
      <alignment horizontal="center" vertical="top"/>
      <protection/>
    </xf>
    <xf numFmtId="4" fontId="12" fillId="0" borderId="2" xfId="22" applyNumberFormat="1" applyFont="1" applyFill="1" applyBorder="1" applyAlignment="1">
      <alignment horizontal="center" vertical="top" wrapText="1"/>
      <protection/>
    </xf>
    <xf numFmtId="4" fontId="9" fillId="0" borderId="5" xfId="22" applyNumberFormat="1" applyFont="1" applyFill="1" applyBorder="1" applyAlignment="1" quotePrefix="1">
      <alignment horizontal="center" vertical="top"/>
      <protection/>
    </xf>
    <xf numFmtId="4" fontId="12" fillId="0" borderId="4" xfId="22" applyNumberFormat="1" applyFont="1" applyFill="1" applyBorder="1" applyAlignment="1">
      <alignment horizontal="center" vertical="top"/>
      <protection/>
    </xf>
    <xf numFmtId="4" fontId="5" fillId="0" borderId="8" xfId="22" applyNumberFormat="1" applyFont="1" applyFill="1" applyBorder="1" applyAlignment="1">
      <alignment horizontal="center" vertical="top"/>
      <protection/>
    </xf>
    <xf numFmtId="4" fontId="5" fillId="0" borderId="9" xfId="22" applyNumberFormat="1" applyFont="1" applyFill="1" applyBorder="1" applyAlignment="1">
      <alignment horizontal="center" vertical="top"/>
      <protection/>
    </xf>
    <xf numFmtId="4" fontId="5" fillId="0" borderId="10" xfId="22" applyNumberFormat="1" applyFont="1" applyFill="1" applyBorder="1" applyAlignment="1">
      <alignment horizontal="center" vertical="top"/>
      <protection/>
    </xf>
    <xf numFmtId="4" fontId="5" fillId="0" borderId="11" xfId="22" applyNumberFormat="1" applyFont="1" applyFill="1" applyBorder="1" applyAlignment="1">
      <alignment horizontal="center" vertical="top"/>
      <protection/>
    </xf>
    <xf numFmtId="4" fontId="14" fillId="0" borderId="12" xfId="17" applyNumberFormat="1" applyFont="1" applyFill="1" applyBorder="1" applyAlignment="1">
      <alignment horizontal="center" vertical="top"/>
    </xf>
    <xf numFmtId="4" fontId="6" fillId="0" borderId="10" xfId="17" applyNumberFormat="1" applyFont="1" applyFill="1" applyBorder="1" applyAlignment="1">
      <alignment horizontal="center" vertical="top"/>
    </xf>
    <xf numFmtId="4" fontId="6" fillId="0" borderId="8" xfId="17" applyNumberFormat="1" applyFont="1" applyFill="1" applyBorder="1" applyAlignment="1">
      <alignment horizontal="center" vertical="top"/>
    </xf>
    <xf numFmtId="4" fontId="6" fillId="0" borderId="12" xfId="22" applyNumberFormat="1" applyFont="1" applyFill="1" applyBorder="1" applyAlignment="1">
      <alignment horizontal="center" vertical="top"/>
      <protection/>
    </xf>
    <xf numFmtId="4" fontId="6" fillId="0" borderId="10" xfId="22" applyNumberFormat="1" applyFont="1" applyFill="1" applyBorder="1" applyAlignment="1">
      <alignment horizontal="center" vertical="top"/>
      <protection/>
    </xf>
    <xf numFmtId="3" fontId="6" fillId="0" borderId="8" xfId="22" applyNumberFormat="1" applyFont="1" applyFill="1" applyBorder="1" applyAlignment="1">
      <alignment horizontal="center" vertical="top"/>
      <protection/>
    </xf>
    <xf numFmtId="4" fontId="5" fillId="0" borderId="13" xfId="22" applyNumberFormat="1" applyFont="1" applyFill="1" applyBorder="1" applyAlignment="1">
      <alignment horizontal="center" vertical="top"/>
      <protection/>
    </xf>
    <xf numFmtId="3" fontId="6" fillId="0" borderId="10" xfId="22" applyNumberFormat="1" applyFont="1" applyFill="1" applyBorder="1" applyAlignment="1">
      <alignment horizontal="center" vertical="top"/>
      <protection/>
    </xf>
    <xf numFmtId="0" fontId="6" fillId="0" borderId="8" xfId="22" applyNumberFormat="1" applyFont="1" applyFill="1" applyBorder="1" applyAlignment="1">
      <alignment horizontal="center" vertical="top"/>
      <protection/>
    </xf>
    <xf numFmtId="4" fontId="6" fillId="3" borderId="12" xfId="22" applyNumberFormat="1" applyFont="1" applyFill="1" applyBorder="1" applyAlignment="1">
      <alignment horizontal="center" vertical="top"/>
      <protection/>
    </xf>
    <xf numFmtId="4" fontId="6" fillId="0" borderId="8" xfId="22" applyNumberFormat="1" applyFont="1" applyFill="1" applyBorder="1" applyAlignment="1">
      <alignment horizontal="center" vertical="top"/>
      <protection/>
    </xf>
    <xf numFmtId="4" fontId="14" fillId="0" borderId="14" xfId="17" applyNumberFormat="1" applyFont="1" applyFill="1" applyBorder="1" applyAlignment="1">
      <alignment horizontal="center" vertical="top"/>
    </xf>
    <xf numFmtId="4" fontId="14" fillId="0" borderId="12" xfId="22" applyNumberFormat="1" applyFont="1" applyFill="1" applyBorder="1" applyAlignment="1">
      <alignment horizontal="center" vertical="top"/>
      <protection/>
    </xf>
    <xf numFmtId="4" fontId="14" fillId="0" borderId="14" xfId="22" applyNumberFormat="1" applyFont="1" applyFill="1" applyBorder="1" applyAlignment="1">
      <alignment horizontal="center" vertical="top"/>
      <protection/>
    </xf>
    <xf numFmtId="3" fontId="14" fillId="0" borderId="14" xfId="22" applyNumberFormat="1" applyFont="1" applyFill="1" applyBorder="1" applyAlignment="1">
      <alignment horizontal="center" vertical="top"/>
      <protection/>
    </xf>
    <xf numFmtId="0" fontId="6" fillId="3" borderId="15" xfId="22" applyNumberFormat="1" applyFont="1" applyFill="1" applyBorder="1" applyAlignment="1">
      <alignment horizontal="center" vertical="top"/>
      <protection/>
    </xf>
    <xf numFmtId="0" fontId="14" fillId="0" borderId="10" xfId="22" applyNumberFormat="1" applyFont="1" applyFill="1" applyBorder="1" applyAlignment="1">
      <alignment horizontal="center" vertical="top"/>
      <protection/>
    </xf>
    <xf numFmtId="0" fontId="6" fillId="3" borderId="12" xfId="22" applyNumberFormat="1" applyFont="1" applyFill="1" applyBorder="1" applyAlignment="1">
      <alignment horizontal="center" vertical="top"/>
      <protection/>
    </xf>
    <xf numFmtId="4" fontId="6" fillId="3" borderId="15" xfId="22" applyNumberFormat="1" applyFont="1" applyFill="1" applyBorder="1" applyAlignment="1">
      <alignment horizontal="center" vertical="top"/>
      <protection/>
    </xf>
    <xf numFmtId="4" fontId="14" fillId="0" borderId="10" xfId="22" applyNumberFormat="1" applyFont="1" applyFill="1" applyBorder="1" applyAlignment="1">
      <alignment horizontal="center" vertical="top"/>
      <protection/>
    </xf>
    <xf numFmtId="0" fontId="14" fillId="0" borderId="12" xfId="22" applyNumberFormat="1" applyFont="1" applyFill="1" applyBorder="1" applyAlignment="1">
      <alignment horizontal="center" vertical="top"/>
      <protection/>
    </xf>
    <xf numFmtId="4" fontId="14" fillId="0" borderId="15" xfId="22" applyNumberFormat="1" applyFont="1" applyFill="1" applyBorder="1" applyAlignment="1">
      <alignment horizontal="center" vertical="top"/>
      <protection/>
    </xf>
    <xf numFmtId="0" fontId="6" fillId="3" borderId="10" xfId="22" applyNumberFormat="1" applyFont="1" applyFill="1" applyBorder="1" applyAlignment="1">
      <alignment horizontal="center" vertical="top"/>
      <protection/>
    </xf>
    <xf numFmtId="4" fontId="12" fillId="0" borderId="3" xfId="22" applyNumberFormat="1" applyFont="1" applyFill="1" applyBorder="1" applyAlignment="1">
      <alignment horizontal="center" vertical="top" wrapText="1"/>
      <protection/>
    </xf>
    <xf numFmtId="4" fontId="9" fillId="0" borderId="3" xfId="22" applyNumberFormat="1" applyFont="1" applyFill="1" applyBorder="1" applyAlignment="1">
      <alignment horizontal="center" vertical="top" wrapText="1"/>
      <protection/>
    </xf>
    <xf numFmtId="3" fontId="6" fillId="0" borderId="4" xfId="17" applyNumberFormat="1" applyFont="1" applyFill="1" applyBorder="1" applyAlignment="1">
      <alignment horizontal="center" vertical="top"/>
    </xf>
    <xf numFmtId="1" fontId="6" fillId="0" borderId="2" xfId="22" applyNumberFormat="1" applyFont="1" applyFill="1" applyBorder="1" applyAlignment="1">
      <alignment horizontal="center" vertical="top"/>
      <protection/>
    </xf>
    <xf numFmtId="2" fontId="6" fillId="0" borderId="2" xfId="22" applyNumberFormat="1" applyFont="1" applyFill="1" applyBorder="1" applyAlignment="1">
      <alignment horizontal="center" vertical="top"/>
      <protection/>
    </xf>
    <xf numFmtId="2" fontId="6" fillId="0" borderId="3" xfId="22" applyNumberFormat="1" applyFont="1" applyFill="1" applyBorder="1" applyAlignment="1">
      <alignment horizontal="center" vertical="top"/>
      <protection/>
    </xf>
    <xf numFmtId="2" fontId="6" fillId="0" borderId="1" xfId="22" applyNumberFormat="1" applyFont="1" applyFill="1" applyBorder="1" applyAlignment="1">
      <alignment horizontal="center" vertical="top"/>
      <protection/>
    </xf>
    <xf numFmtId="2" fontId="5" fillId="0" borderId="1" xfId="22" applyNumberFormat="1" applyFont="1" applyFill="1" applyBorder="1" applyAlignment="1">
      <alignment horizontal="center" vertical="top"/>
      <protection/>
    </xf>
    <xf numFmtId="2" fontId="5" fillId="0" borderId="3" xfId="22" applyNumberFormat="1" applyFont="1" applyFill="1" applyBorder="1" applyAlignment="1">
      <alignment horizontal="center" vertical="top"/>
      <protection/>
    </xf>
    <xf numFmtId="2" fontId="6" fillId="0" borderId="4" xfId="22" applyNumberFormat="1" applyFont="1" applyFill="1" applyBorder="1" applyAlignment="1">
      <alignment horizontal="center" vertical="top"/>
      <protection/>
    </xf>
    <xf numFmtId="2" fontId="6" fillId="3" borderId="5" xfId="22" applyNumberFormat="1" applyFont="1" applyFill="1" applyBorder="1" applyAlignment="1">
      <alignment horizontal="center" vertical="top"/>
      <protection/>
    </xf>
    <xf numFmtId="2" fontId="5" fillId="0" borderId="7" xfId="22" applyNumberFormat="1" applyFont="1" applyFill="1" applyBorder="1" applyAlignment="1">
      <alignment horizontal="center" vertical="top"/>
      <protection/>
    </xf>
    <xf numFmtId="2" fontId="6" fillId="3" borderId="2" xfId="22" applyNumberFormat="1" applyFont="1" applyFill="1" applyBorder="1" applyAlignment="1">
      <alignment horizontal="center" vertical="top"/>
      <protection/>
    </xf>
    <xf numFmtId="2" fontId="6" fillId="0" borderId="5" xfId="22" applyNumberFormat="1" applyFont="1" applyFill="1" applyBorder="1" applyAlignment="1">
      <alignment horizontal="center" vertical="top"/>
      <protection/>
    </xf>
    <xf numFmtId="2" fontId="6" fillId="0" borderId="6" xfId="22" applyNumberFormat="1" applyFont="1" applyFill="1" applyBorder="1" applyAlignment="1">
      <alignment horizontal="center" vertical="top"/>
      <protection/>
    </xf>
    <xf numFmtId="2" fontId="6" fillId="3" borderId="3" xfId="22" applyNumberFormat="1" applyFont="1" applyFill="1" applyBorder="1" applyAlignment="1">
      <alignment horizontal="center" vertical="top"/>
      <protection/>
    </xf>
    <xf numFmtId="4" fontId="5" fillId="0" borderId="16" xfId="22" applyNumberFormat="1" applyFont="1" applyFill="1" applyBorder="1" applyAlignment="1">
      <alignment horizontal="center" vertical="top"/>
      <protection/>
    </xf>
    <xf numFmtId="4" fontId="5" fillId="0" borderId="17" xfId="22" applyNumberFormat="1" applyFont="1" applyFill="1" applyBorder="1" applyAlignment="1">
      <alignment horizontal="center" vertical="top"/>
      <protection/>
    </xf>
    <xf numFmtId="4" fontId="7" fillId="0" borderId="18" xfId="22" applyNumberFormat="1" applyFont="1" applyFill="1" applyBorder="1" applyAlignment="1">
      <alignment horizontal="center" vertical="top" wrapText="1"/>
      <protection/>
    </xf>
    <xf numFmtId="4" fontId="7" fillId="0" borderId="17" xfId="22" applyNumberFormat="1" applyFont="1" applyFill="1" applyBorder="1" applyAlignment="1">
      <alignment horizontal="center" vertical="top" wrapText="1"/>
      <protection/>
    </xf>
    <xf numFmtId="4" fontId="7" fillId="0" borderId="16" xfId="22" applyNumberFormat="1" applyFont="1" applyFill="1" applyBorder="1" applyAlignment="1">
      <alignment horizontal="center" vertical="top" wrapText="1"/>
      <protection/>
    </xf>
    <xf numFmtId="4" fontId="8" fillId="0" borderId="16" xfId="22" applyNumberFormat="1" applyFont="1" applyFill="1" applyBorder="1" applyAlignment="1">
      <alignment horizontal="center" vertical="top" wrapText="1"/>
      <protection/>
    </xf>
    <xf numFmtId="4" fontId="8" fillId="0" borderId="17" xfId="22" applyNumberFormat="1" applyFont="1" applyFill="1" applyBorder="1" applyAlignment="1">
      <alignment horizontal="center" vertical="top" wrapText="1"/>
      <protection/>
    </xf>
    <xf numFmtId="3" fontId="7" fillId="0" borderId="16" xfId="22" applyNumberFormat="1" applyFont="1" applyFill="1" applyBorder="1" applyAlignment="1">
      <alignment horizontal="center" vertical="top" wrapText="1"/>
      <protection/>
    </xf>
    <xf numFmtId="4" fontId="8" fillId="0" borderId="19" xfId="22" applyNumberFormat="1" applyFont="1" applyFill="1" applyBorder="1" applyAlignment="1">
      <alignment horizontal="center" vertical="top" wrapText="1"/>
      <protection/>
    </xf>
    <xf numFmtId="3" fontId="7" fillId="0" borderId="17" xfId="22" applyNumberFormat="1" applyFont="1" applyFill="1" applyBorder="1" applyAlignment="1">
      <alignment horizontal="center" vertical="top" wrapText="1"/>
      <protection/>
    </xf>
    <xf numFmtId="4" fontId="7" fillId="3" borderId="18" xfId="22" applyNumberFormat="1" applyFont="1" applyFill="1" applyBorder="1" applyAlignment="1">
      <alignment horizontal="center" vertical="top" wrapText="1"/>
      <protection/>
    </xf>
    <xf numFmtId="4" fontId="7" fillId="3" borderId="20" xfId="22" applyNumberFormat="1" applyFont="1" applyFill="1" applyBorder="1" applyAlignment="1">
      <alignment horizontal="center" vertical="top" wrapText="1"/>
      <protection/>
    </xf>
    <xf numFmtId="4" fontId="7" fillId="3" borderId="17" xfId="22" applyNumberFormat="1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207" fontId="6" fillId="0" borderId="21" xfId="22" applyNumberFormat="1" applyFont="1" applyFill="1" applyBorder="1" applyAlignment="1">
      <alignment horizontal="center" vertical="top" wrapText="1"/>
      <protection/>
    </xf>
    <xf numFmtId="207" fontId="6" fillId="0" borderId="11" xfId="22" applyNumberFormat="1" applyFont="1" applyFill="1" applyBorder="1" applyAlignment="1">
      <alignment horizontal="center" vertical="top" wrapText="1"/>
      <protection/>
    </xf>
    <xf numFmtId="207" fontId="6" fillId="0" borderId="9" xfId="22" applyNumberFormat="1" applyFont="1" applyFill="1" applyBorder="1" applyAlignment="1">
      <alignment horizontal="center" vertical="top" wrapText="1"/>
      <protection/>
    </xf>
    <xf numFmtId="207" fontId="5" fillId="0" borderId="9" xfId="22" applyNumberFormat="1" applyFont="1" applyFill="1" applyBorder="1" applyAlignment="1">
      <alignment horizontal="center" vertical="top" wrapText="1"/>
      <protection/>
    </xf>
    <xf numFmtId="207" fontId="5" fillId="0" borderId="11" xfId="22" applyNumberFormat="1" applyFont="1" applyFill="1" applyBorder="1" applyAlignment="1">
      <alignment horizontal="center" vertical="top" wrapText="1"/>
      <protection/>
    </xf>
    <xf numFmtId="207" fontId="6" fillId="3" borderId="22" xfId="22" applyNumberFormat="1" applyFont="1" applyFill="1" applyBorder="1" applyAlignment="1">
      <alignment horizontal="center" vertical="top" wrapText="1"/>
      <protection/>
    </xf>
    <xf numFmtId="207" fontId="5" fillId="0" borderId="23" xfId="22" applyNumberFormat="1" applyFont="1" applyFill="1" applyBorder="1" applyAlignment="1">
      <alignment horizontal="center" vertical="top" wrapText="1"/>
      <protection/>
    </xf>
    <xf numFmtId="207" fontId="6" fillId="3" borderId="21" xfId="22" applyNumberFormat="1" applyFont="1" applyFill="1" applyBorder="1" applyAlignment="1">
      <alignment horizontal="center" vertical="top" wrapText="1"/>
      <protection/>
    </xf>
    <xf numFmtId="207" fontId="6" fillId="3" borderId="11" xfId="2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/>
    </xf>
    <xf numFmtId="0" fontId="15" fillId="0" borderId="0" xfId="0" applyFont="1" applyAlignment="1">
      <alignment wrapText="1"/>
    </xf>
    <xf numFmtId="4" fontId="5" fillId="0" borderId="1" xfId="22" applyNumberFormat="1" applyFont="1" applyFill="1" applyBorder="1" applyAlignment="1" applyProtection="1">
      <alignment horizontal="center" vertical="top"/>
      <protection locked="0"/>
    </xf>
    <xf numFmtId="4" fontId="6" fillId="0" borderId="2" xfId="22" applyNumberFormat="1" applyFont="1" applyFill="1" applyBorder="1" applyAlignment="1" applyProtection="1">
      <alignment horizontal="center" vertical="top"/>
      <protection locked="0"/>
    </xf>
    <xf numFmtId="4" fontId="6" fillId="0" borderId="2" xfId="22" applyNumberFormat="1" applyFont="1" applyFill="1" applyBorder="1" applyAlignment="1" applyProtection="1">
      <alignment horizontal="center" vertical="top" wrapText="1"/>
      <protection locked="0"/>
    </xf>
    <xf numFmtId="0" fontId="6" fillId="0" borderId="2" xfId="22" applyFont="1" applyFill="1" applyBorder="1" applyAlignment="1" applyProtection="1">
      <alignment horizontal="center" vertical="top" wrapText="1"/>
      <protection locked="0"/>
    </xf>
    <xf numFmtId="4" fontId="7" fillId="0" borderId="18" xfId="22" applyNumberFormat="1" applyFont="1" applyFill="1" applyBorder="1" applyAlignment="1" applyProtection="1">
      <alignment horizontal="center" vertical="top" wrapText="1"/>
      <protection locked="0"/>
    </xf>
    <xf numFmtId="3" fontId="6" fillId="0" borderId="2" xfId="22" applyNumberFormat="1" applyFont="1" applyFill="1" applyBorder="1" applyAlignment="1" applyProtection="1">
      <alignment horizontal="center" vertical="top"/>
      <protection locked="0"/>
    </xf>
    <xf numFmtId="3" fontId="6" fillId="0" borderId="2" xfId="17" applyNumberFormat="1" applyFont="1" applyFill="1" applyBorder="1" applyAlignment="1" applyProtection="1">
      <alignment horizontal="center" vertical="top"/>
      <protection locked="0"/>
    </xf>
    <xf numFmtId="4" fontId="6" fillId="0" borderId="5" xfId="22" applyNumberFormat="1" applyFont="1" applyFill="1" applyBorder="1" applyAlignment="1" applyProtection="1">
      <alignment horizontal="center" vertical="top"/>
      <protection locked="0"/>
    </xf>
    <xf numFmtId="3" fontId="6" fillId="0" borderId="4" xfId="22" applyNumberFormat="1" applyFont="1" applyFill="1" applyBorder="1" applyAlignment="1" applyProtection="1">
      <alignment horizontal="center" vertical="top"/>
      <protection locked="0"/>
    </xf>
    <xf numFmtId="4" fontId="6" fillId="0" borderId="4" xfId="22" applyNumberFormat="1" applyFont="1" applyFill="1" applyBorder="1" applyAlignment="1" applyProtection="1">
      <alignment horizontal="center" vertical="top" wrapText="1"/>
      <protection locked="0"/>
    </xf>
    <xf numFmtId="3" fontId="6" fillId="0" borderId="5" xfId="22" applyNumberFormat="1" applyFont="1" applyFill="1" applyBorder="1" applyAlignment="1" applyProtection="1">
      <alignment horizontal="center" vertical="top"/>
      <protection locked="0"/>
    </xf>
    <xf numFmtId="3" fontId="7" fillId="0" borderId="18" xfId="22" applyNumberFormat="1" applyFont="1" applyFill="1" applyBorder="1" applyAlignment="1" applyProtection="1">
      <alignment horizontal="center" vertical="top" wrapText="1"/>
      <protection locked="0"/>
    </xf>
    <xf numFmtId="3" fontId="14" fillId="0" borderId="12" xfId="22" applyNumberFormat="1" applyFont="1" applyFill="1" applyBorder="1" applyAlignment="1" applyProtection="1">
      <alignment horizontal="center" vertical="top"/>
      <protection locked="0"/>
    </xf>
    <xf numFmtId="3" fontId="7" fillId="0" borderId="24" xfId="22" applyNumberFormat="1" applyFont="1" applyFill="1" applyBorder="1" applyAlignment="1" applyProtection="1">
      <alignment horizontal="center" vertical="top" wrapText="1"/>
      <protection locked="0"/>
    </xf>
    <xf numFmtId="4" fontId="6" fillId="0" borderId="4" xfId="22" applyNumberFormat="1" applyFont="1" applyFill="1" applyBorder="1" applyAlignment="1" applyProtection="1">
      <alignment horizontal="center" vertical="top" wrapText="1"/>
      <protection/>
    </xf>
    <xf numFmtId="1" fontId="6" fillId="0" borderId="2" xfId="22" applyNumberFormat="1" applyFont="1" applyFill="1" applyBorder="1" applyAlignment="1" applyProtection="1">
      <alignment horizontal="center" vertical="top"/>
      <protection locked="0"/>
    </xf>
    <xf numFmtId="1" fontId="6" fillId="0" borderId="3" xfId="22" applyNumberFormat="1" applyFont="1" applyFill="1" applyBorder="1" applyAlignment="1" applyProtection="1">
      <alignment horizontal="center" vertical="top"/>
      <protection locked="0"/>
    </xf>
    <xf numFmtId="3" fontId="7" fillId="0" borderId="17" xfId="22" applyNumberFormat="1" applyFont="1" applyFill="1" applyBorder="1" applyAlignment="1" applyProtection="1">
      <alignment horizontal="center" vertical="top" wrapText="1"/>
      <protection locked="0"/>
    </xf>
    <xf numFmtId="3" fontId="6" fillId="0" borderId="3" xfId="22" applyNumberFormat="1" applyFont="1" applyFill="1" applyBorder="1" applyAlignment="1" applyProtection="1">
      <alignment horizontal="center" vertical="top"/>
      <protection locked="0"/>
    </xf>
    <xf numFmtId="4" fontId="6" fillId="0" borderId="3" xfId="22" applyNumberFormat="1" applyFont="1" applyFill="1" applyBorder="1" applyAlignment="1" applyProtection="1">
      <alignment horizontal="center" vertical="top" wrapText="1"/>
      <protection locked="0"/>
    </xf>
    <xf numFmtId="2" fontId="6" fillId="0" borderId="2" xfId="22" applyNumberFormat="1" applyFont="1" applyFill="1" applyBorder="1" applyAlignment="1" applyProtection="1">
      <alignment horizontal="center" vertical="top"/>
      <protection locked="0"/>
    </xf>
    <xf numFmtId="4" fontId="6" fillId="0" borderId="5" xfId="22" applyNumberFormat="1" applyFont="1" applyFill="1" applyBorder="1" applyAlignment="1" applyProtection="1">
      <alignment horizontal="center" vertical="top" wrapText="1"/>
      <protection locked="0"/>
    </xf>
    <xf numFmtId="2" fontId="6" fillId="0" borderId="3" xfId="22" applyNumberFormat="1" applyFont="1" applyFill="1" applyBorder="1" applyAlignment="1" applyProtection="1">
      <alignment horizontal="center" vertical="top" wrapText="1"/>
      <protection locked="0"/>
    </xf>
    <xf numFmtId="4" fontId="5" fillId="0" borderId="3" xfId="22" applyNumberFormat="1" applyFont="1" applyFill="1" applyBorder="1" applyAlignment="1" applyProtection="1">
      <alignment horizontal="center" vertical="top"/>
      <protection locked="0"/>
    </xf>
    <xf numFmtId="4" fontId="6" fillId="0" borderId="2" xfId="17" applyNumberFormat="1" applyFont="1" applyFill="1" applyBorder="1" applyAlignment="1" applyProtection="1">
      <alignment horizontal="center" vertical="top"/>
      <protection/>
    </xf>
    <xf numFmtId="4" fontId="6" fillId="0" borderId="2" xfId="22" applyNumberFormat="1" applyFont="1" applyFill="1" applyBorder="1" applyAlignment="1" applyProtection="1">
      <alignment horizontal="center" vertical="top" wrapText="1"/>
      <protection/>
    </xf>
    <xf numFmtId="4" fontId="6" fillId="0" borderId="2" xfId="17" applyNumberFormat="1" applyFont="1" applyFill="1" applyBorder="1" applyAlignment="1" applyProtection="1">
      <alignment horizontal="center" vertical="top"/>
      <protection locked="0"/>
    </xf>
    <xf numFmtId="4" fontId="9" fillId="0" borderId="2" xfId="22" applyNumberFormat="1" applyFont="1" applyFill="1" applyBorder="1" applyAlignment="1" applyProtection="1" quotePrefix="1">
      <alignment horizontal="center" vertical="top"/>
      <protection locked="0"/>
    </xf>
    <xf numFmtId="4" fontId="9" fillId="0" borderId="2" xfId="22" applyNumberFormat="1" applyFont="1" applyFill="1" applyBorder="1" applyAlignment="1" applyProtection="1">
      <alignment horizontal="center" vertical="top"/>
      <protection locked="0"/>
    </xf>
    <xf numFmtId="4" fontId="12" fillId="0" borderId="2" xfId="22" applyNumberFormat="1" applyFont="1" applyFill="1" applyBorder="1" applyAlignment="1" applyProtection="1">
      <alignment horizontal="center" vertical="top"/>
      <protection locked="0"/>
    </xf>
    <xf numFmtId="4" fontId="14" fillId="0" borderId="12" xfId="17" applyNumberFormat="1" applyFont="1" applyFill="1" applyBorder="1" applyAlignment="1" applyProtection="1">
      <alignment horizontal="center" vertical="top"/>
      <protection locked="0"/>
    </xf>
    <xf numFmtId="4" fontId="6" fillId="0" borderId="5" xfId="17" applyNumberFormat="1" applyFont="1" applyFill="1" applyBorder="1" applyAlignment="1" applyProtection="1">
      <alignment horizontal="center" vertical="top"/>
      <protection/>
    </xf>
    <xf numFmtId="4" fontId="14" fillId="0" borderId="15" xfId="17" applyNumberFormat="1" applyFont="1" applyFill="1" applyBorder="1" applyAlignment="1">
      <alignment horizontal="center" vertical="top"/>
    </xf>
    <xf numFmtId="3" fontId="14" fillId="0" borderId="15" xfId="22" applyNumberFormat="1" applyFont="1" applyFill="1" applyBorder="1" applyAlignment="1">
      <alignment horizontal="center" vertical="top"/>
      <protection/>
    </xf>
    <xf numFmtId="3" fontId="7" fillId="0" borderId="20" xfId="22" applyNumberFormat="1" applyFont="1" applyFill="1" applyBorder="1" applyAlignment="1">
      <alignment horizontal="center" vertical="top" wrapText="1"/>
      <protection/>
    </xf>
    <xf numFmtId="3" fontId="9" fillId="0" borderId="5" xfId="22" applyNumberFormat="1" applyFont="1" applyFill="1" applyBorder="1" applyAlignment="1">
      <alignment horizontal="center" vertical="top"/>
      <protection/>
    </xf>
    <xf numFmtId="4" fontId="12" fillId="0" borderId="5" xfId="22" applyNumberFormat="1" applyFont="1" applyFill="1" applyBorder="1" applyAlignment="1">
      <alignment horizontal="center" vertical="top"/>
      <protection/>
    </xf>
    <xf numFmtId="3" fontId="9" fillId="0" borderId="4" xfId="22" applyNumberFormat="1" applyFont="1" applyFill="1" applyBorder="1" applyAlignment="1" quotePrefix="1">
      <alignment horizontal="center" vertical="top"/>
      <protection/>
    </xf>
    <xf numFmtId="4" fontId="6" fillId="4" borderId="2" xfId="22" applyNumberFormat="1" applyFont="1" applyFill="1" applyBorder="1" applyAlignment="1" applyProtection="1">
      <alignment horizontal="center" vertical="top" wrapText="1"/>
      <protection locked="0"/>
    </xf>
    <xf numFmtId="1" fontId="6" fillId="4" borderId="2" xfId="22" applyNumberFormat="1" applyFont="1" applyFill="1" applyBorder="1" applyAlignment="1" applyProtection="1">
      <alignment horizontal="center" vertical="top"/>
      <protection locked="0"/>
    </xf>
    <xf numFmtId="4" fontId="7" fillId="4" borderId="18" xfId="22" applyNumberFormat="1" applyFont="1" applyFill="1" applyBorder="1" applyAlignment="1" applyProtection="1">
      <alignment horizontal="center" vertical="top" wrapText="1"/>
      <protection locked="0"/>
    </xf>
    <xf numFmtId="3" fontId="6" fillId="4" borderId="2" xfId="22" applyNumberFormat="1" applyFont="1" applyFill="1" applyBorder="1" applyAlignment="1" applyProtection="1">
      <alignment horizontal="center" vertical="top"/>
      <protection locked="0"/>
    </xf>
    <xf numFmtId="1" fontId="6" fillId="4" borderId="5" xfId="22" applyNumberFormat="1" applyFont="1" applyFill="1" applyBorder="1" applyAlignment="1" applyProtection="1">
      <alignment horizontal="center" vertical="top" wrapText="1"/>
      <protection locked="0"/>
    </xf>
    <xf numFmtId="4" fontId="6" fillId="3" borderId="12" xfId="22" applyNumberFormat="1" applyFont="1" applyFill="1" applyBorder="1" applyAlignment="1" applyProtection="1">
      <alignment horizontal="center" vertical="top"/>
      <protection/>
    </xf>
    <xf numFmtId="4" fontId="7" fillId="3" borderId="18" xfId="22" applyNumberFormat="1" applyFont="1" applyFill="1" applyBorder="1" applyAlignment="1" applyProtection="1">
      <alignment horizontal="center" vertical="top" wrapText="1"/>
      <protection/>
    </xf>
    <xf numFmtId="207" fontId="6" fillId="3" borderId="21" xfId="22" applyNumberFormat="1" applyFont="1" applyFill="1" applyBorder="1" applyAlignment="1" applyProtection="1">
      <alignment horizontal="center" vertical="top" wrapText="1"/>
      <protection/>
    </xf>
    <xf numFmtId="4" fontId="9" fillId="3" borderId="2" xfId="22" applyNumberFormat="1" applyFont="1" applyFill="1" applyBorder="1" applyAlignment="1" applyProtection="1">
      <alignment horizontal="center" vertical="top"/>
      <protection/>
    </xf>
    <xf numFmtId="3" fontId="6" fillId="3" borderId="2" xfId="22" applyNumberFormat="1" applyFont="1" applyFill="1" applyBorder="1" applyAlignment="1" applyProtection="1">
      <alignment horizontal="center" vertical="top"/>
      <protection/>
    </xf>
    <xf numFmtId="2" fontId="6" fillId="3" borderId="2" xfId="22" applyNumberFormat="1" applyFont="1" applyFill="1" applyBorder="1" applyAlignment="1" applyProtection="1">
      <alignment horizontal="center" vertical="top"/>
      <protection/>
    </xf>
    <xf numFmtId="0" fontId="6" fillId="3" borderId="12" xfId="22" applyNumberFormat="1" applyFont="1" applyFill="1" applyBorder="1" applyAlignment="1" applyProtection="1">
      <alignment horizontal="center" vertical="top" wrapText="1"/>
      <protection/>
    </xf>
    <xf numFmtId="0" fontId="7" fillId="3" borderId="18" xfId="22" applyNumberFormat="1" applyFont="1" applyFill="1" applyBorder="1" applyAlignment="1" applyProtection="1">
      <alignment horizontal="center" vertical="top" wrapText="1"/>
      <protection/>
    </xf>
    <xf numFmtId="0" fontId="6" fillId="3" borderId="15" xfId="22" applyNumberFormat="1" applyFont="1" applyFill="1" applyBorder="1" applyAlignment="1" applyProtection="1">
      <alignment horizontal="center" vertical="top" wrapText="1"/>
      <protection/>
    </xf>
    <xf numFmtId="0" fontId="7" fillId="3" borderId="20" xfId="22" applyNumberFormat="1" applyFont="1" applyFill="1" applyBorder="1" applyAlignment="1" applyProtection="1">
      <alignment horizontal="center" vertical="top" wrapText="1"/>
      <protection/>
    </xf>
    <xf numFmtId="207" fontId="6" fillId="3" borderId="22" xfId="22" applyNumberFormat="1" applyFont="1" applyFill="1" applyBorder="1" applyAlignment="1" applyProtection="1">
      <alignment horizontal="center" vertical="top" wrapText="1"/>
      <protection/>
    </xf>
    <xf numFmtId="3" fontId="6" fillId="3" borderId="5" xfId="22" applyNumberFormat="1" applyFont="1" applyFill="1" applyBorder="1" applyAlignment="1" applyProtection="1">
      <alignment horizontal="center" vertical="top"/>
      <protection/>
    </xf>
    <xf numFmtId="2" fontId="6" fillId="3" borderId="5" xfId="22" applyNumberFormat="1" applyFont="1" applyFill="1" applyBorder="1" applyAlignment="1" applyProtection="1">
      <alignment horizontal="center" vertical="top"/>
      <protection/>
    </xf>
    <xf numFmtId="4" fontId="6" fillId="4" borderId="2" xfId="22" applyNumberFormat="1" applyFont="1" applyFill="1" applyBorder="1" applyAlignment="1" applyProtection="1">
      <alignment horizontal="center" vertical="top" wrapText="1"/>
      <protection/>
    </xf>
    <xf numFmtId="4" fontId="6" fillId="4" borderId="5" xfId="22" applyNumberFormat="1" applyFont="1" applyFill="1" applyBorder="1" applyAlignment="1" applyProtection="1">
      <alignment horizontal="center" vertical="top" wrapText="1"/>
      <protection/>
    </xf>
    <xf numFmtId="0" fontId="6" fillId="4" borderId="5" xfId="22" applyNumberFormat="1" applyFont="1" applyFill="1" applyBorder="1" applyAlignment="1" applyProtection="1">
      <alignment horizontal="center" vertical="top" wrapText="1"/>
      <protection/>
    </xf>
    <xf numFmtId="4" fontId="9" fillId="4" borderId="2" xfId="22" applyNumberFormat="1" applyFont="1" applyFill="1" applyBorder="1" applyAlignment="1" applyProtection="1" quotePrefix="1">
      <alignment horizontal="center" vertical="top" wrapText="1"/>
      <protection locked="0"/>
    </xf>
    <xf numFmtId="4" fontId="12" fillId="4" borderId="2" xfId="22" applyNumberFormat="1" applyFont="1" applyFill="1" applyBorder="1" applyAlignment="1" applyProtection="1">
      <alignment horizontal="center" vertical="top" wrapText="1"/>
      <protection locked="0"/>
    </xf>
    <xf numFmtId="4" fontId="14" fillId="4" borderId="12" xfId="22" applyNumberFormat="1" applyFont="1" applyFill="1" applyBorder="1" applyAlignment="1" applyProtection="1">
      <alignment horizontal="center" vertical="top"/>
      <protection locked="0"/>
    </xf>
    <xf numFmtId="4" fontId="6" fillId="4" borderId="2" xfId="22" applyNumberFormat="1" applyFont="1" applyFill="1" applyBorder="1" applyAlignment="1" applyProtection="1">
      <alignment horizontal="center" vertical="top"/>
      <protection/>
    </xf>
    <xf numFmtId="3" fontId="7" fillId="4" borderId="18" xfId="22" applyNumberFormat="1" applyFont="1" applyFill="1" applyBorder="1" applyAlignment="1" applyProtection="1">
      <alignment horizontal="center" vertical="top" wrapText="1"/>
      <protection locked="0"/>
    </xf>
    <xf numFmtId="4" fontId="9" fillId="4" borderId="2" xfId="22" applyNumberFormat="1" applyFont="1" applyFill="1" applyBorder="1" applyAlignment="1" applyProtection="1" quotePrefix="1">
      <alignment horizontal="center" vertical="top"/>
      <protection locked="0"/>
    </xf>
    <xf numFmtId="4" fontId="12" fillId="4" borderId="2" xfId="22" applyNumberFormat="1" applyFont="1" applyFill="1" applyBorder="1" applyAlignment="1" applyProtection="1">
      <alignment horizontal="center" vertical="top"/>
      <protection locked="0"/>
    </xf>
    <xf numFmtId="3" fontId="9" fillId="4" borderId="2" xfId="22" applyNumberFormat="1" applyFont="1" applyFill="1" applyBorder="1" applyAlignment="1" applyProtection="1">
      <alignment horizontal="center" vertical="top"/>
      <protection locked="0"/>
    </xf>
    <xf numFmtId="0" fontId="14" fillId="4" borderId="12" xfId="22" applyNumberFormat="1" applyFont="1" applyFill="1" applyBorder="1" applyAlignment="1" applyProtection="1">
      <alignment horizontal="center" vertical="top"/>
      <protection locked="0"/>
    </xf>
    <xf numFmtId="4" fontId="6" fillId="0" borderId="3" xfId="22" applyNumberFormat="1" applyFont="1" applyFill="1" applyBorder="1" applyAlignment="1" applyProtection="1">
      <alignment horizontal="center" vertical="top" wrapText="1"/>
      <protection/>
    </xf>
    <xf numFmtId="0" fontId="6" fillId="0" borderId="3" xfId="22" applyNumberFormat="1" applyFont="1" applyFill="1" applyBorder="1" applyAlignment="1" applyProtection="1">
      <alignment horizontal="center" vertical="top" wrapText="1"/>
      <protection/>
    </xf>
    <xf numFmtId="4" fontId="14" fillId="4" borderId="12" xfId="22" applyNumberFormat="1" applyFont="1" applyFill="1" applyBorder="1" applyAlignment="1" applyProtection="1">
      <alignment horizontal="center" vertical="top" wrapText="1"/>
      <protection locked="0"/>
    </xf>
    <xf numFmtId="4" fontId="6" fillId="0" borderId="2" xfId="22" applyNumberFormat="1" applyFont="1" applyFill="1" applyBorder="1" applyAlignment="1" applyProtection="1">
      <alignment horizontal="center" vertical="top"/>
      <protection/>
    </xf>
    <xf numFmtId="3" fontId="7" fillId="0" borderId="18" xfId="22" applyNumberFormat="1" applyFont="1" applyFill="1" applyBorder="1" applyAlignment="1">
      <alignment horizontal="center" vertical="top" wrapText="1"/>
      <protection/>
    </xf>
    <xf numFmtId="0" fontId="14" fillId="3" borderId="15" xfId="22" applyNumberFormat="1" applyFont="1" applyFill="1" applyBorder="1" applyAlignment="1">
      <alignment horizontal="center" vertical="top"/>
      <protection/>
    </xf>
    <xf numFmtId="0" fontId="6" fillId="4" borderId="3" xfId="22" applyFont="1" applyFill="1" applyBorder="1" applyAlignment="1">
      <alignment horizontal="left" vertical="top" wrapText="1"/>
      <protection/>
    </xf>
    <xf numFmtId="4" fontId="6" fillId="4" borderId="3" xfId="22" applyNumberFormat="1" applyFont="1" applyFill="1" applyBorder="1" applyAlignment="1">
      <alignment horizontal="center" vertical="top"/>
      <protection/>
    </xf>
    <xf numFmtId="2" fontId="6" fillId="4" borderId="3" xfId="22" applyNumberFormat="1" applyFont="1" applyFill="1" applyBorder="1" applyAlignment="1">
      <alignment horizontal="center" vertical="top" wrapText="1"/>
      <protection/>
    </xf>
    <xf numFmtId="2" fontId="6" fillId="4" borderId="3" xfId="22" applyNumberFormat="1" applyFont="1" applyFill="1" applyBorder="1" applyAlignment="1">
      <alignment horizontal="center" vertical="top"/>
      <protection/>
    </xf>
    <xf numFmtId="0" fontId="0" fillId="4" borderId="0" xfId="0" applyFill="1" applyAlignment="1">
      <alignment/>
    </xf>
    <xf numFmtId="0" fontId="6" fillId="4" borderId="2" xfId="22" applyFont="1" applyFill="1" applyBorder="1" applyAlignment="1">
      <alignment horizontal="left" vertical="top" wrapText="1"/>
      <protection/>
    </xf>
    <xf numFmtId="4" fontId="6" fillId="4" borderId="2" xfId="22" applyNumberFormat="1" applyFont="1" applyFill="1" applyBorder="1" applyAlignment="1">
      <alignment horizontal="center" vertical="top" wrapText="1"/>
      <protection/>
    </xf>
    <xf numFmtId="1" fontId="6" fillId="4" borderId="2" xfId="22" applyNumberFormat="1" applyFont="1" applyFill="1" applyBorder="1" applyAlignment="1">
      <alignment horizontal="center" vertical="top"/>
      <protection/>
    </xf>
    <xf numFmtId="0" fontId="6" fillId="4" borderId="2" xfId="22" applyNumberFormat="1" applyFont="1" applyFill="1" applyBorder="1" applyAlignment="1">
      <alignment horizontal="center" vertical="top" wrapText="1"/>
      <protection/>
    </xf>
    <xf numFmtId="4" fontId="9" fillId="4" borderId="3" xfId="22" applyNumberFormat="1" applyFont="1" applyFill="1" applyBorder="1" applyAlignment="1" quotePrefix="1">
      <alignment horizontal="center" vertical="top"/>
      <protection/>
    </xf>
    <xf numFmtId="4" fontId="12" fillId="4" borderId="3" xfId="22" applyNumberFormat="1" applyFont="1" applyFill="1" applyBorder="1" applyAlignment="1">
      <alignment horizontal="center" vertical="top"/>
      <protection/>
    </xf>
    <xf numFmtId="0" fontId="6" fillId="4" borderId="2" xfId="22" applyFont="1" applyFill="1" applyBorder="1" applyAlignment="1" quotePrefix="1">
      <alignment horizontal="left" vertical="top" wrapText="1"/>
      <protection/>
    </xf>
    <xf numFmtId="0" fontId="14" fillId="4" borderId="12" xfId="22" applyNumberFormat="1" applyFont="1" applyFill="1" applyBorder="1" applyAlignment="1">
      <alignment horizontal="center" vertical="top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/>
    </xf>
    <xf numFmtId="0" fontId="17" fillId="0" borderId="1" xfId="0" applyFont="1" applyBorder="1" applyAlignment="1">
      <alignment wrapText="1"/>
    </xf>
    <xf numFmtId="0" fontId="17" fillId="5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/>
    </xf>
    <xf numFmtId="0" fontId="17" fillId="5" borderId="1" xfId="0" applyFont="1" applyFill="1" applyBorder="1" applyAlignment="1">
      <alignment/>
    </xf>
    <xf numFmtId="0" fontId="17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wrapText="1"/>
    </xf>
    <xf numFmtId="2" fontId="17" fillId="0" borderId="1" xfId="0" applyNumberFormat="1" applyFont="1" applyBorder="1" applyAlignment="1">
      <alignment horizontal="center"/>
    </xf>
    <xf numFmtId="2" fontId="16" fillId="5" borderId="1" xfId="0" applyNumberFormat="1" applyFont="1" applyFill="1" applyBorder="1" applyAlignment="1">
      <alignment horizontal="center"/>
    </xf>
    <xf numFmtId="4" fontId="18" fillId="4" borderId="2" xfId="22" applyNumberFormat="1" applyFont="1" applyFill="1" applyBorder="1" applyAlignment="1" applyProtection="1">
      <alignment horizontal="center" vertical="top" wrapText="1"/>
      <protection locked="0"/>
    </xf>
    <xf numFmtId="4" fontId="18" fillId="0" borderId="2" xfId="22" applyNumberFormat="1" applyFont="1" applyFill="1" applyBorder="1" applyAlignment="1" applyProtection="1">
      <alignment horizontal="center" vertical="top" wrapText="1"/>
      <protection locked="0"/>
    </xf>
    <xf numFmtId="3" fontId="6" fillId="0" borderId="2" xfId="22" applyNumberFormat="1" applyFont="1" applyFill="1" applyBorder="1" applyAlignment="1">
      <alignment horizontal="center" vertical="top" wrapText="1"/>
      <protection/>
    </xf>
    <xf numFmtId="4" fontId="18" fillId="4" borderId="2" xfId="17" applyNumberFormat="1" applyFont="1" applyFill="1" applyBorder="1" applyAlignment="1" applyProtection="1">
      <alignment horizontal="center" vertical="top" wrapText="1"/>
      <protection locked="0"/>
    </xf>
    <xf numFmtId="4" fontId="18" fillId="4" borderId="2" xfId="22" applyNumberFormat="1" applyFont="1" applyFill="1" applyBorder="1" applyAlignment="1" applyProtection="1">
      <alignment horizontal="center" vertical="top"/>
      <protection locked="0"/>
    </xf>
    <xf numFmtId="3" fontId="6" fillId="0" borderId="3" xfId="22" applyNumberFormat="1" applyFont="1" applyFill="1" applyBorder="1" applyAlignment="1">
      <alignment horizontal="center" vertical="top" wrapText="1"/>
      <protection/>
    </xf>
    <xf numFmtId="4" fontId="18" fillId="0" borderId="3" xfId="22" applyNumberFormat="1" applyFont="1" applyFill="1" applyBorder="1" applyAlignment="1" applyProtection="1">
      <alignment horizontal="center" vertical="top" wrapText="1"/>
      <protection locked="0"/>
    </xf>
    <xf numFmtId="4" fontId="18" fillId="0" borderId="18" xfId="22" applyNumberFormat="1" applyFont="1" applyBorder="1" applyAlignment="1">
      <alignment vertical="top"/>
      <protection/>
    </xf>
    <xf numFmtId="207" fontId="7" fillId="0" borderId="21" xfId="22" applyNumberFormat="1" applyFont="1" applyFill="1" applyBorder="1" applyAlignment="1" applyProtection="1">
      <alignment horizontal="center" vertical="top" wrapText="1"/>
      <protection locked="0"/>
    </xf>
    <xf numFmtId="207" fontId="7" fillId="0" borderId="25" xfId="22" applyNumberFormat="1" applyFont="1" applyFill="1" applyBorder="1" applyAlignment="1" applyProtection="1">
      <alignment horizontal="center" vertical="top" wrapText="1"/>
      <protection locked="0"/>
    </xf>
    <xf numFmtId="4" fontId="7" fillId="0" borderId="26" xfId="22" applyNumberFormat="1" applyFont="1" applyFill="1" applyBorder="1" applyAlignment="1" applyProtection="1">
      <alignment horizontal="center" vertical="top" wrapText="1"/>
      <protection locked="0"/>
    </xf>
    <xf numFmtId="207" fontId="7" fillId="0" borderId="27" xfId="22" applyNumberFormat="1" applyFont="1" applyFill="1" applyBorder="1" applyAlignment="1" applyProtection="1">
      <alignment horizontal="center" vertical="top" wrapText="1"/>
      <protection locked="0"/>
    </xf>
    <xf numFmtId="4" fontId="10" fillId="0" borderId="6" xfId="22" applyNumberFormat="1" applyFont="1" applyFill="1" applyBorder="1" applyAlignment="1" quotePrefix="1">
      <alignment horizontal="center" vertical="top"/>
      <protection/>
    </xf>
    <xf numFmtId="4" fontId="10" fillId="0" borderId="6" xfId="22" applyNumberFormat="1" applyFont="1" applyFill="1" applyBorder="1" applyAlignment="1">
      <alignment horizontal="center" vertical="top"/>
      <protection/>
    </xf>
    <xf numFmtId="3" fontId="6" fillId="0" borderId="6" xfId="22" applyNumberFormat="1" applyFont="1" applyFill="1" applyBorder="1" applyAlignment="1" applyProtection="1">
      <alignment horizontal="center" vertical="top"/>
      <protection locked="0"/>
    </xf>
    <xf numFmtId="0" fontId="6" fillId="4" borderId="5" xfId="22" applyFont="1" applyFill="1" applyBorder="1" applyAlignment="1" quotePrefix="1">
      <alignment horizontal="left" vertical="top" wrapText="1"/>
      <protection/>
    </xf>
    <xf numFmtId="4" fontId="6" fillId="4" borderId="28" xfId="22" applyNumberFormat="1" applyFont="1" applyFill="1" applyBorder="1" applyAlignment="1">
      <alignment horizontal="center" vertical="top"/>
      <protection/>
    </xf>
    <xf numFmtId="4" fontId="6" fillId="4" borderId="5" xfId="22" applyNumberFormat="1" applyFont="1" applyFill="1" applyBorder="1" applyAlignment="1">
      <alignment horizontal="center" vertical="top" wrapText="1"/>
      <protection/>
    </xf>
    <xf numFmtId="0" fontId="6" fillId="4" borderId="5" xfId="22" applyNumberFormat="1" applyFont="1" applyFill="1" applyBorder="1" applyAlignment="1">
      <alignment horizontal="center" vertical="top" wrapText="1"/>
      <protection/>
    </xf>
    <xf numFmtId="1" fontId="6" fillId="4" borderId="5" xfId="22" applyNumberFormat="1" applyFont="1" applyFill="1" applyBorder="1" applyAlignment="1">
      <alignment horizontal="center" vertical="top"/>
      <protection/>
    </xf>
    <xf numFmtId="207" fontId="6" fillId="3" borderId="29" xfId="22" applyNumberFormat="1" applyFont="1" applyFill="1" applyBorder="1" applyAlignment="1">
      <alignment horizontal="center" vertical="top" wrapText="1"/>
      <protection/>
    </xf>
    <xf numFmtId="4" fontId="9" fillId="3" borderId="28" xfId="22" applyNumberFormat="1" applyFont="1" applyFill="1" applyBorder="1" applyAlignment="1">
      <alignment horizontal="center" vertical="top"/>
      <protection/>
    </xf>
    <xf numFmtId="0" fontId="5" fillId="4" borderId="1" xfId="22" applyFont="1" applyFill="1" applyBorder="1" applyAlignment="1">
      <alignment horizontal="center" vertical="top" wrapText="1"/>
      <protection/>
    </xf>
    <xf numFmtId="0" fontId="5" fillId="4" borderId="1" xfId="22" applyFont="1" applyFill="1" applyBorder="1" applyAlignment="1">
      <alignment horizontal="center" vertical="top"/>
      <protection/>
    </xf>
    <xf numFmtId="0" fontId="5" fillId="4" borderId="1" xfId="22" applyFont="1" applyFill="1" applyBorder="1" applyAlignment="1">
      <alignment horizontal="right" vertical="top"/>
      <protection/>
    </xf>
    <xf numFmtId="3" fontId="5" fillId="4" borderId="1" xfId="22" applyNumberFormat="1" applyFont="1" applyFill="1" applyBorder="1" applyAlignment="1">
      <alignment horizontal="right" vertical="top"/>
      <protection/>
    </xf>
    <xf numFmtId="0" fontId="5" fillId="4" borderId="8" xfId="22" applyFont="1" applyFill="1" applyBorder="1" applyAlignment="1">
      <alignment horizontal="right" vertical="top"/>
      <protection/>
    </xf>
    <xf numFmtId="0" fontId="5" fillId="4" borderId="16" xfId="22" applyFont="1" applyFill="1" applyBorder="1" applyAlignment="1">
      <alignment vertical="top"/>
      <protection/>
    </xf>
    <xf numFmtId="0" fontId="5" fillId="4" borderId="9" xfId="22" applyFont="1" applyFill="1" applyBorder="1" applyAlignment="1">
      <alignment vertical="top"/>
      <protection/>
    </xf>
    <xf numFmtId="0" fontId="10" fillId="4" borderId="1" xfId="22" applyFont="1" applyFill="1" applyBorder="1" applyAlignment="1">
      <alignment vertical="top"/>
      <protection/>
    </xf>
    <xf numFmtId="4" fontId="7" fillId="0" borderId="24" xfId="22" applyNumberFormat="1" applyFont="1" applyFill="1" applyBorder="1" applyAlignment="1">
      <alignment horizontal="center" vertical="top" wrapText="1"/>
      <protection/>
    </xf>
    <xf numFmtId="207" fontId="7" fillId="0" borderId="25" xfId="22" applyNumberFormat="1" applyFont="1" applyFill="1" applyBorder="1" applyAlignment="1">
      <alignment horizontal="center" vertical="top" wrapText="1"/>
      <protection/>
    </xf>
    <xf numFmtId="4" fontId="7" fillId="0" borderId="20" xfId="22" applyNumberFormat="1" applyFont="1" applyFill="1" applyBorder="1" applyAlignment="1" applyProtection="1">
      <alignment horizontal="center" vertical="top" wrapText="1"/>
      <protection locked="0"/>
    </xf>
    <xf numFmtId="4" fontId="19" fillId="0" borderId="18" xfId="22" applyNumberFormat="1" applyFont="1" applyFill="1" applyBorder="1" applyAlignment="1" applyProtection="1">
      <alignment horizontal="center" vertical="top" wrapText="1"/>
      <protection locked="0"/>
    </xf>
    <xf numFmtId="1" fontId="6" fillId="0" borderId="5" xfId="22" applyNumberFormat="1" applyFont="1" applyFill="1" applyBorder="1" applyAlignment="1" applyProtection="1">
      <alignment horizontal="center" vertical="top" wrapText="1"/>
      <protection locked="0"/>
    </xf>
    <xf numFmtId="1" fontId="6" fillId="0" borderId="5" xfId="22" applyNumberFormat="1" applyFont="1" applyFill="1" applyBorder="1" applyAlignment="1" applyProtection="1">
      <alignment horizontal="center" vertical="top"/>
      <protection locked="0"/>
    </xf>
    <xf numFmtId="4" fontId="18" fillId="0" borderId="2" xfId="17" applyNumberFormat="1" applyFont="1" applyFill="1" applyBorder="1" applyAlignment="1" applyProtection="1">
      <alignment horizontal="center" vertical="top" wrapText="1"/>
      <protection locked="0"/>
    </xf>
    <xf numFmtId="4" fontId="18" fillId="0" borderId="2" xfId="22" applyNumberFormat="1" applyFont="1" applyFill="1" applyBorder="1" applyAlignment="1" applyProtection="1">
      <alignment horizontal="center" vertical="top"/>
      <protection locked="0"/>
    </xf>
    <xf numFmtId="4" fontId="7" fillId="0" borderId="17" xfId="22" applyNumberFormat="1" applyFont="1" applyFill="1" applyBorder="1" applyAlignment="1" applyProtection="1">
      <alignment horizontal="center" vertical="top" wrapText="1"/>
      <protection locked="0"/>
    </xf>
    <xf numFmtId="207" fontId="7" fillId="0" borderId="11" xfId="22" applyNumberFormat="1" applyFont="1" applyFill="1" applyBorder="1" applyAlignment="1" applyProtection="1">
      <alignment horizontal="center" vertical="top" wrapText="1"/>
      <protection locked="0"/>
    </xf>
    <xf numFmtId="1" fontId="6" fillId="0" borderId="3" xfId="22" applyNumberFormat="1" applyFont="1" applyFill="1" applyBorder="1" applyAlignment="1">
      <alignment horizontal="center" vertical="top"/>
      <protection/>
    </xf>
    <xf numFmtId="1" fontId="6" fillId="0" borderId="5" xfId="22" applyNumberFormat="1" applyFont="1" applyFill="1" applyBorder="1" applyAlignment="1">
      <alignment horizontal="center" vertical="top"/>
      <protection/>
    </xf>
    <xf numFmtId="0" fontId="6" fillId="0" borderId="10" xfId="22" applyNumberFormat="1" applyFont="1" applyFill="1" applyBorder="1" applyAlignment="1">
      <alignment horizontal="center" vertical="top"/>
      <protection/>
    </xf>
    <xf numFmtId="4" fontId="7" fillId="0" borderId="20" xfId="22" applyNumberFormat="1" applyFont="1" applyFill="1" applyBorder="1" applyAlignment="1">
      <alignment horizontal="center" vertical="top" wrapText="1"/>
      <protection/>
    </xf>
    <xf numFmtId="0" fontId="15" fillId="0" borderId="0" xfId="0" applyFont="1" applyAlignment="1">
      <alignment/>
    </xf>
    <xf numFmtId="4" fontId="7" fillId="0" borderId="24" xfId="22" applyNumberFormat="1" applyFont="1" applyFill="1" applyBorder="1" applyAlignment="1" applyProtection="1">
      <alignment horizontal="center" vertical="top" wrapText="1"/>
      <protection locked="0"/>
    </xf>
    <xf numFmtId="2" fontId="6" fillId="0" borderId="4" xfId="22" applyNumberFormat="1" applyFont="1" applyFill="1" applyBorder="1" applyAlignment="1" applyProtection="1">
      <alignment horizontal="center" vertical="top"/>
      <protection locked="0"/>
    </xf>
    <xf numFmtId="3" fontId="6" fillId="0" borderId="5" xfId="22" applyNumberFormat="1" applyFont="1" applyFill="1" applyBorder="1" applyAlignment="1">
      <alignment horizontal="center" vertical="top" wrapText="1"/>
      <protection/>
    </xf>
    <xf numFmtId="2" fontId="6" fillId="0" borderId="3" xfId="22" applyNumberFormat="1" applyFont="1" applyFill="1" applyBorder="1" applyAlignment="1">
      <alignment horizontal="center" vertical="top" wrapText="1"/>
      <protection/>
    </xf>
    <xf numFmtId="1" fontId="6" fillId="4" borderId="2" xfId="22" applyNumberFormat="1" applyFont="1" applyFill="1" applyBorder="1" applyAlignment="1">
      <alignment horizontal="center" vertical="top" wrapText="1"/>
      <protection/>
    </xf>
    <xf numFmtId="0" fontId="6" fillId="0" borderId="2" xfId="22" applyFont="1" applyFill="1" applyBorder="1" applyAlignment="1" quotePrefix="1">
      <alignment horizontal="left" vertical="top" wrapText="1"/>
      <protection/>
    </xf>
    <xf numFmtId="4" fontId="13" fillId="0" borderId="2" xfId="22" applyNumberFormat="1" applyFont="1" applyFill="1" applyBorder="1" applyAlignment="1">
      <alignment horizontal="center" vertical="top" wrapText="1"/>
      <protection/>
    </xf>
    <xf numFmtId="211" fontId="0" fillId="0" borderId="0" xfId="0" applyNumberFormat="1" applyAlignment="1">
      <alignment/>
    </xf>
    <xf numFmtId="209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09" fontId="5" fillId="0" borderId="1" xfId="22" applyNumberFormat="1" applyFont="1" applyFill="1" applyBorder="1" applyAlignment="1">
      <alignment horizontal="center" vertical="top"/>
      <protection/>
    </xf>
    <xf numFmtId="2" fontId="0" fillId="0" borderId="0" xfId="0" applyNumberFormat="1" applyAlignment="1">
      <alignment/>
    </xf>
    <xf numFmtId="2" fontId="5" fillId="4" borderId="1" xfId="22" applyNumberFormat="1" applyFont="1" applyFill="1" applyBorder="1" applyAlignment="1">
      <alignment horizontal="center" vertical="top"/>
      <protection/>
    </xf>
    <xf numFmtId="2" fontId="5" fillId="0" borderId="6" xfId="22" applyNumberFormat="1" applyFont="1" applyFill="1" applyBorder="1" applyAlignment="1">
      <alignment horizontal="center" vertical="top"/>
      <protection/>
    </xf>
    <xf numFmtId="0" fontId="5" fillId="0" borderId="1" xfId="22" applyNumberFormat="1" applyFont="1" applyFill="1" applyBorder="1" applyAlignment="1">
      <alignment horizontal="center" vertical="top" wrapText="1"/>
      <protection/>
    </xf>
    <xf numFmtId="0" fontId="5" fillId="0" borderId="8" xfId="22" applyNumberFormat="1" applyFont="1" applyFill="1" applyBorder="1" applyAlignment="1">
      <alignment horizontal="center" vertical="top" wrapText="1"/>
      <protection/>
    </xf>
    <xf numFmtId="0" fontId="8" fillId="0" borderId="16" xfId="22" applyNumberFormat="1" applyFont="1" applyFill="1" applyBorder="1" applyAlignment="1">
      <alignment horizontal="center" vertical="top" wrapText="1"/>
      <protection/>
    </xf>
    <xf numFmtId="1" fontId="6" fillId="0" borderId="2" xfId="22" applyNumberFormat="1" applyFont="1" applyFill="1" applyBorder="1" applyAlignment="1">
      <alignment horizontal="center" vertical="top" wrapText="1"/>
      <protection/>
    </xf>
    <xf numFmtId="2" fontId="17" fillId="0" borderId="1" xfId="0" applyNumberFormat="1" applyFont="1" applyFill="1" applyBorder="1" applyAlignment="1">
      <alignment horizontal="center"/>
    </xf>
    <xf numFmtId="4" fontId="6" fillId="0" borderId="2" xfId="17" applyNumberFormat="1" applyFont="1" applyFill="1" applyBorder="1" applyAlignment="1" applyProtection="1">
      <alignment horizontal="center" vertical="top" wrapText="1"/>
      <protection locked="0"/>
    </xf>
    <xf numFmtId="4" fontId="5" fillId="4" borderId="1" xfId="22" applyNumberFormat="1" applyFont="1" applyFill="1" applyBorder="1" applyAlignment="1">
      <alignment horizontal="center" vertical="top"/>
      <protection/>
    </xf>
    <xf numFmtId="4" fontId="5" fillId="4" borderId="1" xfId="22" applyNumberFormat="1" applyFont="1" applyFill="1" applyBorder="1" applyAlignment="1">
      <alignment horizontal="center" vertical="top" wrapText="1"/>
      <protection/>
    </xf>
    <xf numFmtId="0" fontId="5" fillId="4" borderId="1" xfId="22" applyNumberFormat="1" applyFont="1" applyFill="1" applyBorder="1" applyAlignment="1">
      <alignment horizontal="center" vertical="top"/>
      <protection/>
    </xf>
    <xf numFmtId="0" fontId="5" fillId="4" borderId="1" xfId="22" applyNumberFormat="1" applyFont="1" applyFill="1" applyBorder="1" applyAlignment="1">
      <alignment horizontal="center" vertical="top" wrapText="1"/>
      <protection/>
    </xf>
    <xf numFmtId="0" fontId="5" fillId="4" borderId="8" xfId="22" applyNumberFormat="1" applyFont="1" applyFill="1" applyBorder="1" applyAlignment="1">
      <alignment horizontal="center" vertical="top"/>
      <protection/>
    </xf>
    <xf numFmtId="4" fontId="8" fillId="4" borderId="16" xfId="22" applyNumberFormat="1" applyFont="1" applyFill="1" applyBorder="1" applyAlignment="1">
      <alignment horizontal="center" vertical="top" wrapText="1"/>
      <protection/>
    </xf>
    <xf numFmtId="4" fontId="8" fillId="4" borderId="9" xfId="22" applyNumberFormat="1" applyFont="1" applyFill="1" applyBorder="1" applyAlignment="1">
      <alignment horizontal="center" vertical="top" wrapText="1"/>
      <protection/>
    </xf>
    <xf numFmtId="4" fontId="10" fillId="4" borderId="1" xfId="22" applyNumberFormat="1" applyFont="1" applyFill="1" applyBorder="1" applyAlignment="1">
      <alignment horizontal="center" vertical="top"/>
      <protection/>
    </xf>
    <xf numFmtId="0" fontId="15" fillId="4" borderId="0" xfId="0" applyFont="1" applyFill="1" applyAlignment="1">
      <alignment/>
    </xf>
    <xf numFmtId="4" fontId="13" fillId="0" borderId="2" xfId="22" applyNumberFormat="1" applyFont="1" applyFill="1" applyBorder="1" applyAlignment="1" quotePrefix="1">
      <alignment horizontal="center" vertical="top" wrapText="1"/>
      <protection/>
    </xf>
    <xf numFmtId="0" fontId="16" fillId="0" borderId="0" xfId="0" applyFont="1" applyAlignment="1">
      <alignment horizontal="center"/>
    </xf>
    <xf numFmtId="0" fontId="4" fillId="0" borderId="0" xfId="22" applyFont="1" applyFill="1" applyBorder="1" applyAlignment="1">
      <alignment horizontal="center"/>
      <protection/>
    </xf>
    <xf numFmtId="4" fontId="5" fillId="0" borderId="30" xfId="22" applyNumberFormat="1" applyFont="1" applyFill="1" applyBorder="1" applyAlignment="1">
      <alignment horizontal="center" vertical="center" wrapText="1"/>
      <protection/>
    </xf>
    <xf numFmtId="4" fontId="5" fillId="0" borderId="31" xfId="22" applyNumberFormat="1" applyFont="1" applyFill="1" applyBorder="1" applyAlignment="1">
      <alignment horizontal="center" vertical="center" wrapText="1"/>
      <protection/>
    </xf>
    <xf numFmtId="4" fontId="5" fillId="0" borderId="32" xfId="22" applyNumberFormat="1" applyFont="1" applyFill="1" applyBorder="1" applyAlignment="1">
      <alignment horizontal="center" vertical="center" wrapText="1"/>
      <protection/>
    </xf>
    <xf numFmtId="4" fontId="5" fillId="0" borderId="13" xfId="22" applyNumberFormat="1" applyFont="1" applyFill="1" applyBorder="1" applyAlignment="1">
      <alignment horizontal="center" vertical="center" wrapText="1"/>
      <protection/>
    </xf>
    <xf numFmtId="4" fontId="5" fillId="0" borderId="19" xfId="22" applyNumberFormat="1" applyFont="1" applyFill="1" applyBorder="1" applyAlignment="1">
      <alignment horizontal="center" vertical="center" wrapText="1"/>
      <protection/>
    </xf>
    <xf numFmtId="4" fontId="5" fillId="0" borderId="23" xfId="22" applyNumberFormat="1" applyFont="1" applyFill="1" applyBorder="1" applyAlignment="1">
      <alignment horizontal="center" vertical="center" wrapText="1"/>
      <protection/>
    </xf>
    <xf numFmtId="4" fontId="5" fillId="0" borderId="1" xfId="22" applyNumberFormat="1" applyFont="1" applyFill="1" applyBorder="1" applyAlignment="1">
      <alignment horizontal="center" vertical="center"/>
      <protection/>
    </xf>
    <xf numFmtId="4" fontId="5" fillId="0" borderId="1" xfId="22" applyNumberFormat="1" applyFont="1" applyFill="1" applyBorder="1" applyAlignment="1">
      <alignment horizontal="center"/>
      <protection/>
    </xf>
    <xf numFmtId="4" fontId="5" fillId="2" borderId="1" xfId="22" applyNumberFormat="1" applyFont="1" applyFill="1" applyBorder="1" applyAlignment="1">
      <alignment horizontal="center" vertical="center" textRotation="90" wrapText="1"/>
      <protection/>
    </xf>
    <xf numFmtId="4" fontId="5" fillId="0" borderId="1" xfId="22" applyNumberFormat="1" applyFont="1" applyFill="1" applyBorder="1" applyAlignment="1">
      <alignment horizontal="center" vertical="center" wrapText="1"/>
      <protection/>
    </xf>
    <xf numFmtId="0" fontId="5" fillId="0" borderId="1" xfId="22" applyFont="1" applyFill="1" applyBorder="1" applyAlignment="1">
      <alignment horizontal="center" vertical="center" wrapText="1"/>
      <protection/>
    </xf>
    <xf numFmtId="4" fontId="10" fillId="0" borderId="1" xfId="22" applyNumberFormat="1" applyFont="1" applyFill="1" applyBorder="1" applyAlignment="1">
      <alignment horizontal="center" wrapText="1"/>
      <protection/>
    </xf>
    <xf numFmtId="4" fontId="10" fillId="0" borderId="1" xfId="22" applyNumberFormat="1" applyFont="1" applyFill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เครื่องหมายจุลภาค_SAR-7" xfId="17"/>
    <cellStyle name="Currency" xfId="18"/>
    <cellStyle name="Currency [0]" xfId="19"/>
    <cellStyle name="Hyperlink" xfId="20"/>
    <cellStyle name="Followed Hyperlink" xfId="21"/>
    <cellStyle name="ปกติ_SAR-7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R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R-10"/>
    </sheetNames>
    <sheetDataSet>
      <sheetData sheetId="0">
        <row r="7">
          <cell r="C7">
            <v>23</v>
          </cell>
          <cell r="D7">
            <v>25</v>
          </cell>
          <cell r="E7">
            <v>28</v>
          </cell>
        </row>
        <row r="11">
          <cell r="C11">
            <v>23</v>
          </cell>
          <cell r="D11">
            <v>25</v>
          </cell>
          <cell r="E11">
            <v>28</v>
          </cell>
        </row>
        <row r="12">
          <cell r="C12">
            <v>168</v>
          </cell>
          <cell r="D12">
            <v>166</v>
          </cell>
          <cell r="E12">
            <v>169</v>
          </cell>
        </row>
        <row r="17">
          <cell r="C17">
            <v>76</v>
          </cell>
          <cell r="D17">
            <v>82.5</v>
          </cell>
          <cell r="E17">
            <v>80</v>
          </cell>
        </row>
        <row r="21">
          <cell r="C21" t="str">
            <v>-</v>
          </cell>
          <cell r="D21" t="str">
            <v>-</v>
          </cell>
          <cell r="E21" t="str">
            <v>-</v>
          </cell>
        </row>
        <row r="22">
          <cell r="C22">
            <v>19</v>
          </cell>
          <cell r="D22">
            <v>23</v>
          </cell>
          <cell r="E22">
            <v>27</v>
          </cell>
        </row>
        <row r="23">
          <cell r="C23">
            <v>59</v>
          </cell>
          <cell r="D23">
            <v>60</v>
          </cell>
          <cell r="E23">
            <v>64</v>
          </cell>
        </row>
        <row r="25">
          <cell r="C25">
            <v>3000</v>
          </cell>
          <cell r="D25">
            <v>3508</v>
          </cell>
          <cell r="E25">
            <v>3199</v>
          </cell>
        </row>
        <row r="26">
          <cell r="C26">
            <v>2587</v>
          </cell>
          <cell r="D26">
            <v>2951</v>
          </cell>
          <cell r="E26">
            <v>2599</v>
          </cell>
        </row>
        <row r="27">
          <cell r="C27">
            <v>2587</v>
          </cell>
          <cell r="D27">
            <v>2951</v>
          </cell>
          <cell r="E27">
            <v>2452</v>
          </cell>
        </row>
        <row r="50">
          <cell r="C50">
            <v>253</v>
          </cell>
          <cell r="D50">
            <v>276</v>
          </cell>
          <cell r="E50">
            <v>301</v>
          </cell>
        </row>
        <row r="51">
          <cell r="C51">
            <v>222</v>
          </cell>
          <cell r="D51">
            <v>235</v>
          </cell>
          <cell r="E51">
            <v>260</v>
          </cell>
        </row>
        <row r="53">
          <cell r="C53">
            <v>96</v>
          </cell>
          <cell r="D53">
            <v>207</v>
          </cell>
          <cell r="E53">
            <v>235</v>
          </cell>
        </row>
        <row r="55">
          <cell r="C55">
            <v>222</v>
          </cell>
          <cell r="D55">
            <v>231</v>
          </cell>
          <cell r="E55">
            <v>258</v>
          </cell>
        </row>
        <row r="57">
          <cell r="C57">
            <v>184</v>
          </cell>
          <cell r="D57">
            <v>209</v>
          </cell>
          <cell r="E57">
            <v>242</v>
          </cell>
        </row>
        <row r="58">
          <cell r="C58">
            <v>187</v>
          </cell>
          <cell r="D58">
            <v>211</v>
          </cell>
          <cell r="E58">
            <v>246</v>
          </cell>
        </row>
        <row r="59">
          <cell r="C59">
            <v>31</v>
          </cell>
          <cell r="D59">
            <v>20</v>
          </cell>
          <cell r="E59">
            <v>43</v>
          </cell>
        </row>
        <row r="60">
          <cell r="C60">
            <v>9</v>
          </cell>
          <cell r="D60">
            <v>8</v>
          </cell>
        </row>
        <row r="62">
          <cell r="C62">
            <v>39</v>
          </cell>
          <cell r="D62">
            <v>39</v>
          </cell>
          <cell r="E62">
            <v>48</v>
          </cell>
        </row>
        <row r="63">
          <cell r="E63">
            <v>1</v>
          </cell>
        </row>
        <row r="65">
          <cell r="C65">
            <v>52</v>
          </cell>
          <cell r="D65">
            <v>29</v>
          </cell>
          <cell r="E65">
            <v>81</v>
          </cell>
        </row>
        <row r="66">
          <cell r="E66">
            <v>2</v>
          </cell>
        </row>
        <row r="69">
          <cell r="C69">
            <v>123.52</v>
          </cell>
          <cell r="D69">
            <v>168.25</v>
          </cell>
          <cell r="E69">
            <v>240.26</v>
          </cell>
        </row>
        <row r="76">
          <cell r="C76">
            <v>11414124.06</v>
          </cell>
          <cell r="D76">
            <v>10708398.84</v>
          </cell>
          <cell r="E76">
            <v>12086728.72</v>
          </cell>
        </row>
        <row r="79">
          <cell r="C79">
            <v>41920185.08</v>
          </cell>
          <cell r="D79">
            <v>39914974.09</v>
          </cell>
          <cell r="E79">
            <v>29323477.34</v>
          </cell>
        </row>
        <row r="85">
          <cell r="C85">
            <v>61</v>
          </cell>
          <cell r="D85">
            <v>61</v>
          </cell>
          <cell r="E85">
            <v>114</v>
          </cell>
        </row>
        <row r="88">
          <cell r="C88">
            <v>48</v>
          </cell>
          <cell r="D88">
            <v>57</v>
          </cell>
          <cell r="E88">
            <v>44</v>
          </cell>
        </row>
        <row r="91">
          <cell r="C91">
            <v>31</v>
          </cell>
          <cell r="D91">
            <v>45</v>
          </cell>
          <cell r="E91">
            <v>43</v>
          </cell>
        </row>
        <row r="93">
          <cell r="C93">
            <v>2</v>
          </cell>
          <cell r="D93">
            <v>2</v>
          </cell>
          <cell r="E93">
            <v>5</v>
          </cell>
        </row>
        <row r="95">
          <cell r="C95">
            <v>2387</v>
          </cell>
          <cell r="D95">
            <v>2031</v>
          </cell>
          <cell r="E95">
            <v>2014</v>
          </cell>
        </row>
        <row r="96">
          <cell r="C96">
            <v>25</v>
          </cell>
          <cell r="D96">
            <v>34</v>
          </cell>
          <cell r="E96">
            <v>79</v>
          </cell>
        </row>
        <row r="97">
          <cell r="C97">
            <v>1235208.18</v>
          </cell>
          <cell r="D97">
            <v>1254651</v>
          </cell>
          <cell r="E97">
            <v>1203710</v>
          </cell>
        </row>
        <row r="99">
          <cell r="C99">
            <v>8722589.63</v>
          </cell>
          <cell r="D99">
            <v>7043443.81</v>
          </cell>
          <cell r="E99">
            <v>6700314.72</v>
          </cell>
        </row>
        <row r="100">
          <cell r="C100">
            <v>226</v>
          </cell>
          <cell r="D100">
            <v>464</v>
          </cell>
          <cell r="E100">
            <v>582</v>
          </cell>
        </row>
        <row r="101">
          <cell r="C101">
            <v>902988.45</v>
          </cell>
          <cell r="D101">
            <v>1785263.5</v>
          </cell>
          <cell r="E101">
            <v>1289630.67</v>
          </cell>
        </row>
        <row r="102">
          <cell r="C102">
            <v>598054807.68</v>
          </cell>
          <cell r="D102">
            <v>586792628.9</v>
          </cell>
          <cell r="E102">
            <v>513947687.19</v>
          </cell>
        </row>
        <row r="104">
          <cell r="C104">
            <v>176120510</v>
          </cell>
          <cell r="D104">
            <v>214113559.3</v>
          </cell>
          <cell r="E104">
            <v>181018362.18</v>
          </cell>
        </row>
        <row r="105">
          <cell r="C105">
            <v>176120510</v>
          </cell>
          <cell r="D105">
            <v>214113559.3</v>
          </cell>
          <cell r="E105">
            <v>181018362.18</v>
          </cell>
        </row>
        <row r="107">
          <cell r="C107">
            <v>11103520.27000001</v>
          </cell>
          <cell r="D107">
            <v>19148903.53</v>
          </cell>
          <cell r="E107">
            <v>28302247.329999983</v>
          </cell>
        </row>
        <row r="108">
          <cell r="C108">
            <v>187224030.27</v>
          </cell>
          <cell r="D108">
            <v>233262462.83</v>
          </cell>
          <cell r="E108">
            <v>209320609.51</v>
          </cell>
        </row>
        <row r="110">
          <cell r="C110">
            <v>4403889.77</v>
          </cell>
          <cell r="D110">
            <v>4381161.99</v>
          </cell>
          <cell r="E110">
            <v>4660275.52</v>
          </cell>
        </row>
        <row r="111">
          <cell r="C111">
            <v>150.5</v>
          </cell>
          <cell r="D111">
            <v>171.5</v>
          </cell>
          <cell r="E111">
            <v>195</v>
          </cell>
        </row>
        <row r="112">
          <cell r="C112">
            <v>52</v>
          </cell>
          <cell r="D112">
            <v>91</v>
          </cell>
          <cell r="E112">
            <v>95</v>
          </cell>
        </row>
        <row r="114">
          <cell r="C114">
            <v>150.5</v>
          </cell>
          <cell r="D114">
            <v>171.5</v>
          </cell>
          <cell r="E114">
            <v>195</v>
          </cell>
        </row>
        <row r="116">
          <cell r="C116">
            <v>2587</v>
          </cell>
          <cell r="D116">
            <v>2951</v>
          </cell>
          <cell r="E116">
            <v>2599</v>
          </cell>
        </row>
        <row r="117">
          <cell r="C117">
            <v>12946783.05</v>
          </cell>
          <cell r="D117">
            <v>40410939.92</v>
          </cell>
          <cell r="E117">
            <v>15795055.74</v>
          </cell>
        </row>
        <row r="119">
          <cell r="C119">
            <v>1773.86</v>
          </cell>
          <cell r="D119">
            <v>1816.01</v>
          </cell>
          <cell r="E119">
            <v>1567.19</v>
          </cell>
        </row>
        <row r="120">
          <cell r="C120">
            <v>498.25</v>
          </cell>
          <cell r="D120">
            <v>588.92</v>
          </cell>
          <cell r="E120">
            <v>692.34</v>
          </cell>
        </row>
        <row r="121">
          <cell r="C121">
            <v>150</v>
          </cell>
          <cell r="D121">
            <v>150</v>
          </cell>
          <cell r="E121">
            <v>152</v>
          </cell>
        </row>
        <row r="122">
          <cell r="C122">
            <v>1606.14</v>
          </cell>
          <cell r="D122">
            <v>1847.62</v>
          </cell>
          <cell r="E122">
            <v>1549.75</v>
          </cell>
        </row>
        <row r="123">
          <cell r="C123">
            <v>493.1</v>
          </cell>
          <cell r="D123">
            <v>540.08</v>
          </cell>
          <cell r="E123">
            <v>658.66</v>
          </cell>
        </row>
        <row r="125">
          <cell r="C125" t="str">
            <v>-</v>
          </cell>
          <cell r="D125" t="str">
            <v>-</v>
          </cell>
          <cell r="E125" t="str">
            <v>-</v>
          </cell>
        </row>
        <row r="126">
          <cell r="C126" t="str">
            <v>-</v>
          </cell>
          <cell r="D126" t="str">
            <v>-</v>
          </cell>
          <cell r="E126" t="str">
            <v>-</v>
          </cell>
        </row>
        <row r="127">
          <cell r="C127">
            <v>3</v>
          </cell>
          <cell r="E127">
            <v>7</v>
          </cell>
        </row>
        <row r="128">
          <cell r="C128">
            <v>2982</v>
          </cell>
          <cell r="D128">
            <v>3477</v>
          </cell>
          <cell r="E128">
            <v>3178</v>
          </cell>
        </row>
        <row r="129">
          <cell r="C129">
            <v>261</v>
          </cell>
          <cell r="D129">
            <v>301</v>
          </cell>
          <cell r="E129">
            <v>341</v>
          </cell>
        </row>
        <row r="130">
          <cell r="C130">
            <v>586</v>
          </cell>
          <cell r="D130">
            <v>594</v>
          </cell>
          <cell r="E130">
            <v>821</v>
          </cell>
        </row>
        <row r="131">
          <cell r="C131">
            <v>308</v>
          </cell>
          <cell r="D131">
            <v>379</v>
          </cell>
          <cell r="E131">
            <v>232</v>
          </cell>
        </row>
        <row r="132">
          <cell r="C132">
            <v>695</v>
          </cell>
          <cell r="D132">
            <v>804</v>
          </cell>
          <cell r="E132">
            <v>727</v>
          </cell>
        </row>
        <row r="134">
          <cell r="C134">
            <v>449</v>
          </cell>
          <cell r="D134">
            <v>479</v>
          </cell>
          <cell r="E134">
            <v>513</v>
          </cell>
        </row>
        <row r="135">
          <cell r="C135">
            <v>10</v>
          </cell>
          <cell r="D135">
            <v>13</v>
          </cell>
          <cell r="E135">
            <v>17</v>
          </cell>
        </row>
        <row r="136">
          <cell r="C136" t="str">
            <v>-</v>
          </cell>
          <cell r="D136" t="str">
            <v>-</v>
          </cell>
          <cell r="E136">
            <v>1</v>
          </cell>
        </row>
        <row r="137">
          <cell r="C137">
            <v>100</v>
          </cell>
          <cell r="D137">
            <v>78</v>
          </cell>
          <cell r="E137">
            <v>89</v>
          </cell>
        </row>
        <row r="138">
          <cell r="C138">
            <v>22</v>
          </cell>
          <cell r="D138">
            <v>24</v>
          </cell>
          <cell r="E138">
            <v>26</v>
          </cell>
        </row>
        <row r="139">
          <cell r="C139">
            <v>1</v>
          </cell>
          <cell r="D139" t="str">
            <v>-</v>
          </cell>
          <cell r="E139">
            <v>4</v>
          </cell>
        </row>
        <row r="140">
          <cell r="C140">
            <v>86</v>
          </cell>
          <cell r="D140">
            <v>51</v>
          </cell>
          <cell r="E140">
            <v>68</v>
          </cell>
        </row>
        <row r="141">
          <cell r="C141" t="str">
            <v>-</v>
          </cell>
          <cell r="D141" t="str">
            <v>-</v>
          </cell>
          <cell r="E141" t="str">
            <v>-</v>
          </cell>
        </row>
        <row r="142">
          <cell r="C142">
            <v>1</v>
          </cell>
          <cell r="D142" t="str">
            <v>-</v>
          </cell>
          <cell r="E142">
            <v>5</v>
          </cell>
        </row>
        <row r="143">
          <cell r="C143" t="str">
            <v>-</v>
          </cell>
          <cell r="D143">
            <v>11</v>
          </cell>
          <cell r="E143">
            <v>12</v>
          </cell>
        </row>
        <row r="144">
          <cell r="C144" t="str">
            <v>5 โครงการ
ผู้เข้าร่วม 456 คน</v>
          </cell>
          <cell r="D144" t="str">
            <v>3 โครงการ
ผู้เข้าร่วม 222 คน</v>
          </cell>
          <cell r="E144" t="str">
            <v>6 โครงการ
ผู้เข้าร่วม 91 คน</v>
          </cell>
        </row>
        <row r="145">
          <cell r="C145" t="str">
            <v>-</v>
          </cell>
          <cell r="D145" t="str">
            <v>-</v>
          </cell>
          <cell r="E145" t="str">
            <v>-</v>
          </cell>
        </row>
        <row r="146">
          <cell r="C146" t="str">
            <v>-</v>
          </cell>
          <cell r="D146" t="str">
            <v>-</v>
          </cell>
          <cell r="E146" t="str">
            <v>-</v>
          </cell>
        </row>
        <row r="147">
          <cell r="C147">
            <v>74</v>
          </cell>
          <cell r="D147">
            <v>116</v>
          </cell>
          <cell r="E147">
            <v>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2">
      <selection activeCell="G7" sqref="G7"/>
    </sheetView>
  </sheetViews>
  <sheetFormatPr defaultColWidth="9.140625" defaultRowHeight="12.75"/>
  <cols>
    <col min="1" max="1" width="8.57421875" style="241" customWidth="1"/>
    <col min="2" max="2" width="47.57421875" style="241" customWidth="1"/>
    <col min="3" max="3" width="9.140625" style="242" customWidth="1"/>
    <col min="4" max="4" width="12.421875" style="241" customWidth="1"/>
    <col min="5" max="5" width="12.8515625" style="241" customWidth="1"/>
    <col min="6" max="16384" width="9.140625" style="241" customWidth="1"/>
  </cols>
  <sheetData>
    <row r="1" spans="1:5" ht="23.25">
      <c r="A1" s="329" t="s">
        <v>211</v>
      </c>
      <c r="B1" s="329"/>
      <c r="C1" s="329"/>
      <c r="D1" s="329"/>
      <c r="E1" s="329"/>
    </row>
    <row r="3" spans="1:5" ht="23.25">
      <c r="A3" s="243" t="s">
        <v>212</v>
      </c>
      <c r="B3" s="243" t="s">
        <v>213</v>
      </c>
      <c r="C3" s="243" t="s">
        <v>214</v>
      </c>
      <c r="D3" s="243" t="s">
        <v>215</v>
      </c>
      <c r="E3" s="243" t="s">
        <v>216</v>
      </c>
    </row>
    <row r="4" spans="1:5" ht="23.25">
      <c r="A4" s="244">
        <v>1</v>
      </c>
      <c r="B4" s="245" t="s">
        <v>217</v>
      </c>
      <c r="C4" s="244">
        <v>35</v>
      </c>
      <c r="D4" s="252">
        <f>SAR7_1!V16</f>
        <v>4.77</v>
      </c>
      <c r="E4" s="244" t="str">
        <f>IF(D4&gt;=4.51,"ดีมาก",IF(D4&gt;=3.51,"ดี",IF(D4&gt;=2.51,"พอใช้",IF(D4&gt;=1.51,"ควรปรับปรุง","ต้องปรับปรุง"))))</f>
        <v>ดีมาก</v>
      </c>
    </row>
    <row r="5" spans="1:5" ht="23.25">
      <c r="A5" s="244">
        <v>2</v>
      </c>
      <c r="B5" s="245" t="s">
        <v>218</v>
      </c>
      <c r="C5" s="244">
        <v>35</v>
      </c>
      <c r="D5" s="252">
        <f>SAR7_1!$V$27</f>
        <v>4.6</v>
      </c>
      <c r="E5" s="244" t="str">
        <f aca="true" t="shared" si="0" ref="E5:E15">IF(D5&gt;=4.51,"ดีมาก",IF(D5&gt;=3.51,"ดี",IF(D5&gt;=2.51,"พอใช้",IF(D5&gt;=1.51,"ควรปรับปรุง","ต้องปรับปรุง"))))</f>
        <v>ดีมาก</v>
      </c>
    </row>
    <row r="6" spans="1:5" ht="23.25">
      <c r="A6" s="244">
        <v>3</v>
      </c>
      <c r="B6" s="245" t="s">
        <v>219</v>
      </c>
      <c r="C6" s="244">
        <v>20</v>
      </c>
      <c r="D6" s="317">
        <f>SAR7_1!$V$39</f>
        <v>5</v>
      </c>
      <c r="E6" s="244" t="str">
        <f t="shared" si="0"/>
        <v>ดีมาก</v>
      </c>
    </row>
    <row r="7" spans="1:5" ht="23.25" customHeight="1">
      <c r="A7" s="244">
        <v>4</v>
      </c>
      <c r="B7" s="246" t="s">
        <v>220</v>
      </c>
      <c r="C7" s="244">
        <v>10</v>
      </c>
      <c r="D7" s="317">
        <f>SAR7_1!$V$47</f>
        <v>4</v>
      </c>
      <c r="E7" s="244" t="str">
        <f t="shared" si="0"/>
        <v>ดี</v>
      </c>
    </row>
    <row r="8" spans="1:5" ht="23.25">
      <c r="A8" s="247"/>
      <c r="B8" s="248" t="s">
        <v>221</v>
      </c>
      <c r="C8" s="243">
        <f>SUM(C4:C7)</f>
        <v>100</v>
      </c>
      <c r="D8" s="253">
        <f>((D4*C4)+(D5*C5)+(D6*C6)+(D7*C7))/C8</f>
        <v>4.6795</v>
      </c>
      <c r="E8" s="243" t="str">
        <f t="shared" si="0"/>
        <v>ดีมาก</v>
      </c>
    </row>
    <row r="9" spans="1:5" ht="23.25">
      <c r="A9" s="244">
        <v>5</v>
      </c>
      <c r="B9" s="245" t="s">
        <v>222</v>
      </c>
      <c r="C9" s="244">
        <v>20</v>
      </c>
      <c r="D9" s="317">
        <f>SAR7_1!$V$62</f>
        <v>4.79</v>
      </c>
      <c r="E9" s="244" t="str">
        <f t="shared" si="0"/>
        <v>ดีมาก</v>
      </c>
    </row>
    <row r="10" spans="1:5" ht="23.25">
      <c r="A10" s="244">
        <v>6</v>
      </c>
      <c r="B10" s="245" t="s">
        <v>223</v>
      </c>
      <c r="C10" s="244">
        <v>20</v>
      </c>
      <c r="D10" s="252">
        <f>SAR7_1!$V$76</f>
        <v>3.77</v>
      </c>
      <c r="E10" s="244" t="str">
        <f t="shared" si="0"/>
        <v>ดี</v>
      </c>
    </row>
    <row r="11" spans="1:5" ht="23.25">
      <c r="A11" s="244">
        <v>7</v>
      </c>
      <c r="B11" s="245" t="s">
        <v>224</v>
      </c>
      <c r="C11" s="244">
        <v>20</v>
      </c>
      <c r="D11" s="252">
        <f>SAR7_1!$V$81</f>
        <v>5</v>
      </c>
      <c r="E11" s="244" t="str">
        <f t="shared" si="0"/>
        <v>ดีมาก</v>
      </c>
    </row>
    <row r="12" spans="1:5" ht="23.25">
      <c r="A12" s="247"/>
      <c r="B12" s="248" t="s">
        <v>225</v>
      </c>
      <c r="C12" s="243">
        <f>SUM(C8:C11)</f>
        <v>160</v>
      </c>
      <c r="D12" s="253">
        <f>((D4*C4)+(D5*C5)+(D6*C6)+(D7*C7)+(D9*C9)+(D10*C10)+(D11*C11))/C12</f>
        <v>4.6196874999999995</v>
      </c>
      <c r="E12" s="243" t="str">
        <f t="shared" si="0"/>
        <v>ดีมาก</v>
      </c>
    </row>
    <row r="13" spans="1:5" ht="46.5">
      <c r="A13" s="250">
        <v>8</v>
      </c>
      <c r="B13" s="246" t="s">
        <v>226</v>
      </c>
      <c r="C13" s="244">
        <v>10</v>
      </c>
      <c r="D13" s="252">
        <f>SAR7_1!$V$86</f>
        <v>4.01</v>
      </c>
      <c r="E13" s="244" t="str">
        <f t="shared" si="0"/>
        <v>ดี</v>
      </c>
    </row>
    <row r="14" spans="1:5" ht="23.25">
      <c r="A14" s="244">
        <v>9</v>
      </c>
      <c r="B14" s="245" t="s">
        <v>227</v>
      </c>
      <c r="C14" s="244">
        <v>10</v>
      </c>
      <c r="D14" s="252">
        <f>SAR7_1!$V$100</f>
        <v>5</v>
      </c>
      <c r="E14" s="244" t="str">
        <f t="shared" si="0"/>
        <v>ดีมาก</v>
      </c>
    </row>
    <row r="15" spans="1:5" ht="23.25">
      <c r="A15" s="249"/>
      <c r="B15" s="248" t="s">
        <v>228</v>
      </c>
      <c r="C15" s="243">
        <f>SUM(C12:C14)</f>
        <v>180</v>
      </c>
      <c r="D15" s="253">
        <f>((D4*C4)+(D5*C5)+(D6*C6)+(D7*C7)+(D9*C9)+(D10*C10)+(D11*C11)+(D13*C13)+(D14*C14))/C15</f>
        <v>4.606944444444444</v>
      </c>
      <c r="E15" s="243" t="str">
        <f t="shared" si="0"/>
        <v>ดีมาก</v>
      </c>
    </row>
    <row r="16" spans="1:5" ht="23.25">
      <c r="A16" s="245"/>
      <c r="B16" s="251" t="s">
        <v>229</v>
      </c>
      <c r="C16" s="244"/>
      <c r="D16" s="245"/>
      <c r="E16" s="245"/>
    </row>
  </sheetData>
  <mergeCells count="1">
    <mergeCell ref="A1:E1"/>
  </mergeCells>
  <printOptions/>
  <pageMargins left="0.75" right="0.29" top="1" bottom="1" header="0.5" footer="0.5"/>
  <pageSetup horizontalDpi="600" verticalDpi="600" orientation="portrait" paperSize="9" r:id="rId2"/>
  <headerFooter alignWithMargins="0">
    <oddHeader xml:space="preserve">&amp;L&amp;G &amp;"Angsana New,ธรรมดา"&amp;16&amp;U&amp;X"ผลิตวิศวกรและผลงานทางวิชาการที่มีคุณภาพในระดับสากล"    </oddHeader>
    <oddFooter xml:space="preserve">&amp;R__________________________________________
&amp;"Angsana New,ธรรมดา"&amp;14คณะวิศวกรรมศาสตร์ ประจำปี การศึกษา 2549&amp;"Arial,ธรรมดา"&amp;10 
  &amp;"Angsana New,ธรรมดา"&amp;14 3-&amp;P 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19"/>
  <sheetViews>
    <sheetView tabSelected="1" zoomScale="85" zoomScaleNormal="85" zoomScaleSheetLayoutView="82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13" sqref="K13"/>
    </sheetView>
  </sheetViews>
  <sheetFormatPr defaultColWidth="9.140625" defaultRowHeight="12.75"/>
  <cols>
    <col min="1" max="1" width="34.28125" style="1" customWidth="1"/>
    <col min="2" max="2" width="5.421875" style="72" customWidth="1"/>
    <col min="3" max="4" width="11.140625" style="0" customWidth="1"/>
    <col min="5" max="5" width="10.28125" style="0" customWidth="1"/>
    <col min="6" max="7" width="11.140625" style="0" customWidth="1"/>
    <col min="8" max="8" width="10.28125" style="0" customWidth="1"/>
    <col min="9" max="10" width="11.140625" style="0" customWidth="1"/>
    <col min="11" max="11" width="10.28125" style="0" customWidth="1"/>
    <col min="12" max="12" width="2.421875" style="0" customWidth="1"/>
    <col min="13" max="13" width="9.57421875" style="0" customWidth="1"/>
    <col min="14" max="14" width="3.28125" style="142" customWidth="1"/>
    <col min="15" max="15" width="9.28125" style="2" customWidth="1"/>
    <col min="16" max="16" width="9.140625" style="2" customWidth="1"/>
    <col min="17" max="17" width="9.421875" style="2" customWidth="1"/>
    <col min="18" max="22" width="4.57421875" style="0" customWidth="1"/>
  </cols>
  <sheetData>
    <row r="1" spans="1:22" ht="26.25">
      <c r="A1" s="330" t="s">
        <v>82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</row>
    <row r="2" spans="1:22" ht="26.25">
      <c r="A2" s="330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</row>
    <row r="3" spans="1:22" ht="40.5" customHeight="1">
      <c r="A3" s="341" t="s">
        <v>83</v>
      </c>
      <c r="B3" s="340" t="s">
        <v>84</v>
      </c>
      <c r="C3" s="337" t="s">
        <v>0</v>
      </c>
      <c r="D3" s="337"/>
      <c r="E3" s="337"/>
      <c r="F3" s="337"/>
      <c r="G3" s="337"/>
      <c r="H3" s="337"/>
      <c r="I3" s="337"/>
      <c r="J3" s="337"/>
      <c r="K3" s="337"/>
      <c r="L3" s="331" t="s">
        <v>14</v>
      </c>
      <c r="M3" s="332"/>
      <c r="N3" s="333"/>
      <c r="O3" s="338" t="s">
        <v>1</v>
      </c>
      <c r="P3" s="338"/>
      <c r="Q3" s="338"/>
      <c r="R3" s="342" t="s">
        <v>81</v>
      </c>
      <c r="S3" s="343"/>
      <c r="T3" s="343"/>
      <c r="U3" s="343"/>
      <c r="V3" s="339" t="s">
        <v>2</v>
      </c>
    </row>
    <row r="4" spans="1:22" ht="90" customHeight="1">
      <c r="A4" s="341"/>
      <c r="B4" s="337"/>
      <c r="C4" s="3" t="s">
        <v>85</v>
      </c>
      <c r="D4" s="3" t="s">
        <v>86</v>
      </c>
      <c r="E4" s="4" t="s">
        <v>3</v>
      </c>
      <c r="F4" s="3" t="s">
        <v>87</v>
      </c>
      <c r="G4" s="3" t="s">
        <v>88</v>
      </c>
      <c r="H4" s="4" t="s">
        <v>4</v>
      </c>
      <c r="I4" s="3" t="s">
        <v>89</v>
      </c>
      <c r="J4" s="3" t="s">
        <v>90</v>
      </c>
      <c r="K4" s="4" t="s">
        <v>13</v>
      </c>
      <c r="L4" s="334"/>
      <c r="M4" s="335"/>
      <c r="N4" s="336"/>
      <c r="O4" s="5">
        <v>1</v>
      </c>
      <c r="P4" s="5">
        <v>2</v>
      </c>
      <c r="Q4" s="5">
        <v>3</v>
      </c>
      <c r="R4" s="6" t="s">
        <v>5</v>
      </c>
      <c r="S4" s="6" t="s">
        <v>91</v>
      </c>
      <c r="T4" s="6" t="s">
        <v>6</v>
      </c>
      <c r="U4" s="6" t="s">
        <v>92</v>
      </c>
      <c r="V4" s="339"/>
    </row>
    <row r="5" spans="1:22" ht="21">
      <c r="A5" s="25" t="s">
        <v>7</v>
      </c>
      <c r="B5" s="154">
        <f>B6+B13</f>
        <v>35</v>
      </c>
      <c r="C5" s="27"/>
      <c r="D5" s="28"/>
      <c r="E5" s="26"/>
      <c r="F5" s="28"/>
      <c r="G5" s="28"/>
      <c r="H5" s="26"/>
      <c r="I5" s="28"/>
      <c r="J5" s="28"/>
      <c r="K5" s="26"/>
      <c r="L5" s="86"/>
      <c r="M5" s="129"/>
      <c r="N5" s="87"/>
      <c r="O5" s="29"/>
      <c r="P5" s="29"/>
      <c r="Q5" s="29"/>
      <c r="R5" s="26"/>
      <c r="S5" s="26"/>
      <c r="T5" s="26"/>
      <c r="U5" s="26"/>
      <c r="V5" s="26"/>
    </row>
    <row r="6" spans="1:22" ht="21">
      <c r="A6" s="21" t="s">
        <v>21</v>
      </c>
      <c r="B6" s="177">
        <f>SUM(B7:B11,B12)</f>
        <v>17.5</v>
      </c>
      <c r="C6" s="23"/>
      <c r="D6" s="23"/>
      <c r="E6" s="22"/>
      <c r="F6" s="23"/>
      <c r="G6" s="23"/>
      <c r="H6" s="22"/>
      <c r="I6" s="23"/>
      <c r="J6" s="23"/>
      <c r="K6" s="22"/>
      <c r="L6" s="88"/>
      <c r="M6" s="130"/>
      <c r="N6" s="89"/>
      <c r="O6" s="24"/>
      <c r="P6" s="24"/>
      <c r="Q6" s="24"/>
      <c r="R6" s="22"/>
      <c r="S6" s="22"/>
      <c r="T6" s="22"/>
      <c r="U6" s="22"/>
      <c r="V6" s="22"/>
    </row>
    <row r="7" spans="1:22" s="72" customFormat="1" ht="42">
      <c r="A7" s="14" t="s">
        <v>93</v>
      </c>
      <c r="B7" s="155">
        <v>2.92</v>
      </c>
      <c r="C7" s="156">
        <f>'[1]SAR-10'!$C$51</f>
        <v>222</v>
      </c>
      <c r="D7" s="156">
        <f>'[1]SAR-10'!$C$50</f>
        <v>253</v>
      </c>
      <c r="E7" s="178">
        <f>C7/D7*100</f>
        <v>87.74703557312253</v>
      </c>
      <c r="F7" s="156">
        <f>'[1]SAR-10'!$D$51</f>
        <v>235</v>
      </c>
      <c r="G7" s="156">
        <f>'[1]SAR-10'!$D$50</f>
        <v>276</v>
      </c>
      <c r="H7" s="178">
        <f>F7/G7*100</f>
        <v>85.14492753623189</v>
      </c>
      <c r="I7" s="156">
        <f>'[1]SAR-10'!$E$51</f>
        <v>260</v>
      </c>
      <c r="J7" s="156">
        <f>'[1]SAR-10'!$E$50</f>
        <v>301</v>
      </c>
      <c r="K7" s="178">
        <f>I7/J7*100</f>
        <v>86.37873754152824</v>
      </c>
      <c r="L7" s="90" t="s">
        <v>169</v>
      </c>
      <c r="M7" s="158">
        <v>85</v>
      </c>
      <c r="N7" s="262">
        <v>2</v>
      </c>
      <c r="O7" s="69" t="s">
        <v>178</v>
      </c>
      <c r="P7" s="17" t="s">
        <v>179</v>
      </c>
      <c r="Q7" s="68" t="s">
        <v>104</v>
      </c>
      <c r="R7" s="18">
        <f>IF(K7=0,"-",IF(K7&gt;=80,3,IF(K7&gt;=60,2,1)))</f>
        <v>3</v>
      </c>
      <c r="S7" s="18">
        <f aca="true" t="shared" si="0" ref="S7:S12">IF(K7=0,"-",IF(K7&gt;=M7,1,0))</f>
        <v>1</v>
      </c>
      <c r="T7" s="159">
        <v>1</v>
      </c>
      <c r="U7" s="18">
        <f aca="true" t="shared" si="1" ref="U7:U12">SUM(R7:T7)</f>
        <v>5</v>
      </c>
      <c r="V7" s="117">
        <f aca="true" t="shared" si="2" ref="V7:V12">ROUND((U7*B7/B$5),2)</f>
        <v>0.42</v>
      </c>
    </row>
    <row r="8" spans="1:22" s="72" customFormat="1" ht="42">
      <c r="A8" s="14" t="s">
        <v>15</v>
      </c>
      <c r="B8" s="157">
        <v>2.91</v>
      </c>
      <c r="C8" s="156">
        <f>'[1]SAR-10'!$C$53</f>
        <v>96</v>
      </c>
      <c r="D8" s="156">
        <f>'[1]SAR-10'!$C$55</f>
        <v>222</v>
      </c>
      <c r="E8" s="178">
        <f>C8/D8*100</f>
        <v>43.24324324324324</v>
      </c>
      <c r="F8" s="156">
        <f>'[1]SAR-10'!$D$53</f>
        <v>207</v>
      </c>
      <c r="G8" s="156">
        <f>'[1]SAR-10'!$D$55</f>
        <v>231</v>
      </c>
      <c r="H8" s="178">
        <f>F8/G8*100</f>
        <v>89.6103896103896</v>
      </c>
      <c r="I8" s="156">
        <f>'[1]SAR-10'!$E$53</f>
        <v>235</v>
      </c>
      <c r="J8" s="156">
        <f>'[1]SAR-10'!$E$55</f>
        <v>258</v>
      </c>
      <c r="K8" s="178">
        <f>I8/J8*100</f>
        <v>91.08527131782945</v>
      </c>
      <c r="L8" s="90" t="s">
        <v>169</v>
      </c>
      <c r="M8" s="158">
        <v>80</v>
      </c>
      <c r="N8" s="262">
        <v>3</v>
      </c>
      <c r="O8" s="69" t="s">
        <v>178</v>
      </c>
      <c r="P8" s="17" t="s">
        <v>179</v>
      </c>
      <c r="Q8" s="68" t="s">
        <v>104</v>
      </c>
      <c r="R8" s="18">
        <f>IF(K8=0,"-",IF(K8&gt;=80,3,IF(K8&gt;=60,2,1)))</f>
        <v>3</v>
      </c>
      <c r="S8" s="18">
        <f t="shared" si="0"/>
        <v>1</v>
      </c>
      <c r="T8" s="159">
        <v>1</v>
      </c>
      <c r="U8" s="18">
        <f t="shared" si="1"/>
        <v>5</v>
      </c>
      <c r="V8" s="117">
        <f t="shared" si="2"/>
        <v>0.42</v>
      </c>
    </row>
    <row r="9" spans="1:22" s="72" customFormat="1" ht="42">
      <c r="A9" s="14" t="s">
        <v>16</v>
      </c>
      <c r="B9" s="155">
        <v>2.91</v>
      </c>
      <c r="C9" s="156">
        <f>'[1]SAR-10'!$C$57</f>
        <v>184</v>
      </c>
      <c r="D9" s="156">
        <f>'[1]SAR-10'!$C$58</f>
        <v>187</v>
      </c>
      <c r="E9" s="178">
        <f>C9/D9*100</f>
        <v>98.3957219251337</v>
      </c>
      <c r="F9" s="156">
        <f>'[1]SAR-10'!$D$57</f>
        <v>209</v>
      </c>
      <c r="G9" s="156">
        <f>'[1]SAR-10'!$D$58</f>
        <v>211</v>
      </c>
      <c r="H9" s="178">
        <f>F9/G9*100</f>
        <v>99.0521327014218</v>
      </c>
      <c r="I9" s="156">
        <f>'[1]SAR-10'!$E$57</f>
        <v>242</v>
      </c>
      <c r="J9" s="156">
        <f>'[1]SAR-10'!$E$58</f>
        <v>246</v>
      </c>
      <c r="K9" s="178">
        <f>I9/J9*100</f>
        <v>98.3739837398374</v>
      </c>
      <c r="L9" s="90" t="s">
        <v>169</v>
      </c>
      <c r="M9" s="158">
        <v>99</v>
      </c>
      <c r="N9" s="262">
        <v>3</v>
      </c>
      <c r="O9" s="69" t="s">
        <v>180</v>
      </c>
      <c r="P9" s="17" t="s">
        <v>181</v>
      </c>
      <c r="Q9" s="17">
        <v>100</v>
      </c>
      <c r="R9" s="18">
        <f>IF(K9=0,"-",IF(K9=100,3,IF(K9&gt;=75,2,1)))</f>
        <v>2</v>
      </c>
      <c r="S9" s="18">
        <f t="shared" si="0"/>
        <v>0</v>
      </c>
      <c r="T9" s="159">
        <v>0</v>
      </c>
      <c r="U9" s="18">
        <f t="shared" si="1"/>
        <v>2</v>
      </c>
      <c r="V9" s="117">
        <f t="shared" si="2"/>
        <v>0.17</v>
      </c>
    </row>
    <row r="10" spans="1:22" s="72" customFormat="1" ht="42">
      <c r="A10" s="14" t="s">
        <v>17</v>
      </c>
      <c r="B10" s="155">
        <v>2.92</v>
      </c>
      <c r="C10" s="179" t="s">
        <v>105</v>
      </c>
      <c r="D10" s="179" t="s">
        <v>105</v>
      </c>
      <c r="E10" s="180">
        <v>3.78</v>
      </c>
      <c r="F10" s="179" t="s">
        <v>105</v>
      </c>
      <c r="G10" s="179" t="s">
        <v>105</v>
      </c>
      <c r="H10" s="180">
        <v>3.64</v>
      </c>
      <c r="I10" s="179" t="s">
        <v>105</v>
      </c>
      <c r="J10" s="179" t="s">
        <v>105</v>
      </c>
      <c r="K10" s="180">
        <v>3.84</v>
      </c>
      <c r="L10" s="184" t="s">
        <v>169</v>
      </c>
      <c r="M10" s="158">
        <v>3.5</v>
      </c>
      <c r="N10" s="262">
        <v>2</v>
      </c>
      <c r="O10" s="181" t="s">
        <v>183</v>
      </c>
      <c r="P10" s="182" t="s">
        <v>184</v>
      </c>
      <c r="Q10" s="183" t="s">
        <v>185</v>
      </c>
      <c r="R10" s="18">
        <f>IF(K10=0,"-",IF(K10&gt;=3.5,3,IF(K10&gt;=2.5,2,1)))</f>
        <v>3</v>
      </c>
      <c r="S10" s="18">
        <f t="shared" si="0"/>
        <v>1</v>
      </c>
      <c r="T10" s="159">
        <v>1</v>
      </c>
      <c r="U10" s="18">
        <f t="shared" si="1"/>
        <v>5</v>
      </c>
      <c r="V10" s="117">
        <f t="shared" si="2"/>
        <v>0.42</v>
      </c>
    </row>
    <row r="11" spans="1:22" ht="105" customHeight="1">
      <c r="A11" s="14" t="s">
        <v>18</v>
      </c>
      <c r="B11" s="155">
        <v>2.92</v>
      </c>
      <c r="C11" s="179" t="s">
        <v>105</v>
      </c>
      <c r="D11" s="179" t="s">
        <v>105</v>
      </c>
      <c r="E11" s="160">
        <f>'[1]SAR-10'!$C$59</f>
        <v>31</v>
      </c>
      <c r="F11" s="179" t="s">
        <v>105</v>
      </c>
      <c r="G11" s="179" t="s">
        <v>105</v>
      </c>
      <c r="H11" s="160">
        <f>'[1]SAR-10'!$D$59</f>
        <v>20</v>
      </c>
      <c r="I11" s="179" t="s">
        <v>105</v>
      </c>
      <c r="J11" s="179" t="s">
        <v>105</v>
      </c>
      <c r="K11" s="160">
        <f>'[1]SAR-10'!$E$59</f>
        <v>43</v>
      </c>
      <c r="L11" s="90" t="s">
        <v>169</v>
      </c>
      <c r="M11" s="158">
        <v>10</v>
      </c>
      <c r="N11" s="262" t="s">
        <v>243</v>
      </c>
      <c r="O11" s="17" t="s">
        <v>105</v>
      </c>
      <c r="P11" s="67">
        <v>1</v>
      </c>
      <c r="Q11" s="68" t="s">
        <v>106</v>
      </c>
      <c r="R11" s="18">
        <f>IF(K11&gt;=2,3,IF(K11=1,2,1))</f>
        <v>3</v>
      </c>
      <c r="S11" s="18">
        <f t="shared" si="0"/>
        <v>1</v>
      </c>
      <c r="T11" s="159">
        <v>1</v>
      </c>
      <c r="U11" s="18">
        <f t="shared" si="1"/>
        <v>5</v>
      </c>
      <c r="V11" s="117">
        <f t="shared" si="2"/>
        <v>0.42</v>
      </c>
    </row>
    <row r="12" spans="1:22" ht="63">
      <c r="A12" s="36" t="s">
        <v>94</v>
      </c>
      <c r="B12" s="37">
        <v>2.92</v>
      </c>
      <c r="C12" s="38" t="s">
        <v>105</v>
      </c>
      <c r="D12" s="38" t="s">
        <v>105</v>
      </c>
      <c r="E12" s="115">
        <f>'[1]SAR-10'!$C$60</f>
        <v>9</v>
      </c>
      <c r="F12" s="38" t="s">
        <v>105</v>
      </c>
      <c r="G12" s="38" t="s">
        <v>105</v>
      </c>
      <c r="H12" s="115">
        <f>'[1]SAR-10'!$D$60</f>
        <v>8</v>
      </c>
      <c r="I12" s="38" t="s">
        <v>105</v>
      </c>
      <c r="J12" s="38" t="s">
        <v>105</v>
      </c>
      <c r="K12" s="115">
        <v>22</v>
      </c>
      <c r="L12" s="101" t="s">
        <v>169</v>
      </c>
      <c r="M12" s="284">
        <v>10</v>
      </c>
      <c r="N12" s="285" t="s">
        <v>238</v>
      </c>
      <c r="O12" s="79" t="s">
        <v>186</v>
      </c>
      <c r="P12" s="191" t="s">
        <v>188</v>
      </c>
      <c r="Q12" s="85" t="s">
        <v>187</v>
      </c>
      <c r="R12" s="40">
        <f>IF(K12=0,"-",IF(K12&gt;=9,3,IF(K12&gt;=6,2,1)))</f>
        <v>3</v>
      </c>
      <c r="S12" s="40">
        <f t="shared" si="0"/>
        <v>1</v>
      </c>
      <c r="T12" s="40">
        <v>1</v>
      </c>
      <c r="U12" s="40">
        <f t="shared" si="1"/>
        <v>5</v>
      </c>
      <c r="V12" s="122">
        <f t="shared" si="2"/>
        <v>0.42</v>
      </c>
    </row>
    <row r="13" spans="1:22" ht="21">
      <c r="A13" s="21" t="s">
        <v>19</v>
      </c>
      <c r="B13" s="177">
        <f>SUM(B14:B15)</f>
        <v>17.5</v>
      </c>
      <c r="C13" s="31"/>
      <c r="D13" s="31"/>
      <c r="E13" s="32"/>
      <c r="F13" s="31"/>
      <c r="G13" s="31"/>
      <c r="H13" s="32"/>
      <c r="I13" s="31"/>
      <c r="J13" s="31"/>
      <c r="K13" s="32"/>
      <c r="L13" s="91"/>
      <c r="M13" s="132"/>
      <c r="N13" s="144"/>
      <c r="O13" s="33"/>
      <c r="P13" s="33"/>
      <c r="Q13" s="33"/>
      <c r="R13" s="34"/>
      <c r="S13" s="34"/>
      <c r="T13" s="34"/>
      <c r="U13" s="34"/>
      <c r="V13" s="118"/>
    </row>
    <row r="14" spans="1:22" s="72" customFormat="1" ht="63">
      <c r="A14" s="14" t="s">
        <v>20</v>
      </c>
      <c r="B14" s="155">
        <v>8.75</v>
      </c>
      <c r="C14" s="156">
        <f>'[1]SAR-10'!$C$65</f>
        <v>52</v>
      </c>
      <c r="D14" s="156">
        <f>'[1]SAR-10'!$C$62</f>
        <v>39</v>
      </c>
      <c r="E14" s="178">
        <f>C14/D14*100</f>
        <v>133.33333333333331</v>
      </c>
      <c r="F14" s="156">
        <f>'[1]SAR-10'!$D$65</f>
        <v>29</v>
      </c>
      <c r="G14" s="156">
        <f>'[1]SAR-10'!$D$62</f>
        <v>39</v>
      </c>
      <c r="H14" s="178">
        <f>F14/G14*100</f>
        <v>74.35897435897436</v>
      </c>
      <c r="I14" s="156">
        <f>'[1]SAR-10'!$E$65</f>
        <v>81</v>
      </c>
      <c r="J14" s="156">
        <f>'[1]SAR-10'!$E$62</f>
        <v>48</v>
      </c>
      <c r="K14" s="178">
        <f>I14/J14*100</f>
        <v>168.75</v>
      </c>
      <c r="L14" s="90" t="s">
        <v>169</v>
      </c>
      <c r="M14" s="158">
        <v>65</v>
      </c>
      <c r="N14" s="262">
        <v>5</v>
      </c>
      <c r="O14" s="69" t="s">
        <v>107</v>
      </c>
      <c r="P14" s="17" t="s">
        <v>108</v>
      </c>
      <c r="Q14" s="68" t="s">
        <v>109</v>
      </c>
      <c r="R14" s="18">
        <f>IF(K14&gt;=60,3,IF(K14&gt;=40,2,IF(K14&gt;=1,1,"-")))</f>
        <v>3</v>
      </c>
      <c r="S14" s="18">
        <f>IF(K14=0,"-",IF(K14&gt;=M14,1,0))</f>
        <v>1</v>
      </c>
      <c r="T14" s="159">
        <v>1</v>
      </c>
      <c r="U14" s="18">
        <f>SUM(R14:T14)</f>
        <v>5</v>
      </c>
      <c r="V14" s="117">
        <f>ROUND((U14*B14/B$5),2)</f>
        <v>1.25</v>
      </c>
    </row>
    <row r="15" spans="1:22" s="72" customFormat="1" ht="63">
      <c r="A15" s="41" t="s">
        <v>95</v>
      </c>
      <c r="B15" s="161">
        <v>8.75</v>
      </c>
      <c r="C15" s="175" t="s">
        <v>105</v>
      </c>
      <c r="D15" s="175" t="s">
        <v>105</v>
      </c>
      <c r="E15" s="185" t="s">
        <v>105</v>
      </c>
      <c r="F15" s="175" t="s">
        <v>105</v>
      </c>
      <c r="G15" s="175" t="s">
        <v>105</v>
      </c>
      <c r="H15" s="185" t="s">
        <v>105</v>
      </c>
      <c r="I15" s="175">
        <f>'[1]SAR-10'!$E$66</f>
        <v>2</v>
      </c>
      <c r="J15" s="175">
        <f>'[1]SAR-10'!$E$63</f>
        <v>1</v>
      </c>
      <c r="K15" s="185">
        <f>I15/J15*100</f>
        <v>200</v>
      </c>
      <c r="L15" s="186" t="s">
        <v>169</v>
      </c>
      <c r="M15" s="286">
        <v>100</v>
      </c>
      <c r="N15" s="262">
        <v>5</v>
      </c>
      <c r="O15" s="84" t="s">
        <v>110</v>
      </c>
      <c r="P15" s="44" t="s">
        <v>111</v>
      </c>
      <c r="Q15" s="68" t="s">
        <v>112</v>
      </c>
      <c r="R15" s="45">
        <f>IF(K15&gt;=60,3,IF(K15&gt;=40,2,IF(K15&gt;=1,1,"-")))</f>
        <v>3</v>
      </c>
      <c r="S15" s="45">
        <f>IF(K15=0,"-",IF(K15&gt;=M15,1,0))</f>
        <v>1</v>
      </c>
      <c r="T15" s="164">
        <v>0</v>
      </c>
      <c r="U15" s="18">
        <v>5</v>
      </c>
      <c r="V15" s="126">
        <f>ROUND((U15*B15/B$5),2)</f>
        <v>1.25</v>
      </c>
    </row>
    <row r="16" spans="1:23" ht="21">
      <c r="A16" s="47" t="s">
        <v>77</v>
      </c>
      <c r="B16" s="48"/>
      <c r="C16" s="49"/>
      <c r="D16" s="49"/>
      <c r="E16" s="50"/>
      <c r="F16" s="49"/>
      <c r="G16" s="49"/>
      <c r="H16" s="50"/>
      <c r="I16" s="49"/>
      <c r="J16" s="49"/>
      <c r="K16" s="50"/>
      <c r="L16" s="92"/>
      <c r="M16" s="133"/>
      <c r="N16" s="145"/>
      <c r="O16" s="51"/>
      <c r="P16" s="51"/>
      <c r="Q16" s="51"/>
      <c r="R16" s="120">
        <f>ROUND((((R7*$B$7)+(R8*$B$8)+(R9*$B$9)+(R10*$B$10)+(R11*$B$11)+(R12*$B$12)+(R14*$B$14)+(R15*$B$15))/$B$5),2)</f>
        <v>2.92</v>
      </c>
      <c r="S16" s="120">
        <f>ROUND((((S7*$B$7)+(S8*$B$8)+(S9*$B$9)+(S10*$B$10)+(S11*$B$11)+(S12*$B$12)+(S14*$B$14)+(S15*$B$15))/$B$5),2)</f>
        <v>0.92</v>
      </c>
      <c r="T16" s="120">
        <f>ROUND((((T7*$B$7)+(T8*$B$8)+(T9*$B$9)+(T10*$B$10)+(T11*$B$11)+(T12*$B$12)+(T14*$B$14)+(1*$B$15))/$B$5),2)</f>
        <v>0.92</v>
      </c>
      <c r="U16" s="120">
        <f>ROUND(((SUM(U7:U15))/8),2)</f>
        <v>4.63</v>
      </c>
      <c r="V16" s="120">
        <f>ROUND((SUM(V7:V15)),2)</f>
        <v>4.77</v>
      </c>
      <c r="W16" s="306"/>
    </row>
    <row r="17" spans="1:22" ht="21" customHeight="1">
      <c r="A17" s="25" t="s">
        <v>8</v>
      </c>
      <c r="B17" s="26">
        <f>SUM(B18,B24)</f>
        <v>35</v>
      </c>
      <c r="C17" s="28"/>
      <c r="D17" s="28"/>
      <c r="E17" s="26"/>
      <c r="F17" s="28"/>
      <c r="G17" s="28"/>
      <c r="H17" s="26"/>
      <c r="I17" s="28"/>
      <c r="J17" s="28"/>
      <c r="K17" s="26"/>
      <c r="L17" s="86"/>
      <c r="M17" s="134"/>
      <c r="N17" s="146"/>
      <c r="O17" s="29"/>
      <c r="P17" s="29"/>
      <c r="Q17" s="29"/>
      <c r="R17" s="54"/>
      <c r="S17" s="54"/>
      <c r="T17" s="54"/>
      <c r="U17" s="54"/>
      <c r="V17" s="120"/>
    </row>
    <row r="18" spans="1:22" ht="21">
      <c r="A18" s="21" t="s">
        <v>21</v>
      </c>
      <c r="B18" s="22">
        <f>SUM(B19:B23)</f>
        <v>17.5</v>
      </c>
      <c r="C18" s="23"/>
      <c r="D18" s="23"/>
      <c r="E18" s="22"/>
      <c r="F18" s="23"/>
      <c r="G18" s="23"/>
      <c r="H18" s="22"/>
      <c r="I18" s="23"/>
      <c r="J18" s="23"/>
      <c r="K18" s="22"/>
      <c r="L18" s="88"/>
      <c r="M18" s="135"/>
      <c r="N18" s="147"/>
      <c r="O18" s="24"/>
      <c r="P18" s="24"/>
      <c r="Q18" s="24"/>
      <c r="R18" s="46"/>
      <c r="S18" s="46"/>
      <c r="T18" s="46"/>
      <c r="U18" s="46"/>
      <c r="V18" s="121"/>
    </row>
    <row r="19" spans="1:22" ht="84" customHeight="1">
      <c r="A19" s="14" t="s">
        <v>22</v>
      </c>
      <c r="B19" s="15">
        <v>3.5</v>
      </c>
      <c r="C19" s="156">
        <f>'[1]SAR-10'!$C$69</f>
        <v>123.52</v>
      </c>
      <c r="D19" s="156">
        <f>SUM('[1]SAR-10'!$C$121,'[1]SAR-10'!$C$126)</f>
        <v>150</v>
      </c>
      <c r="E19" s="15">
        <f>C19/D19*100</f>
        <v>82.34666666666666</v>
      </c>
      <c r="F19" s="156">
        <f>'[1]SAR-10'!$D$69</f>
        <v>168.25</v>
      </c>
      <c r="G19" s="156">
        <f>SUM('[1]SAR-10'!$D$121,'[1]SAR-10'!$D$126)</f>
        <v>150</v>
      </c>
      <c r="H19" s="15">
        <f>F19/G19*100</f>
        <v>112.16666666666666</v>
      </c>
      <c r="I19" s="156">
        <f>'[1]SAR-10'!$E$69</f>
        <v>240.26</v>
      </c>
      <c r="J19" s="156">
        <f>SUM('[1]SAR-10'!$E$121,'[1]SAR-10'!$E$126)</f>
        <v>152</v>
      </c>
      <c r="K19" s="15">
        <f>I19/J19*100</f>
        <v>158.06578947368422</v>
      </c>
      <c r="L19" s="102" t="s">
        <v>169</v>
      </c>
      <c r="M19" s="158">
        <v>60</v>
      </c>
      <c r="N19" s="262">
        <v>2</v>
      </c>
      <c r="O19" s="69" t="s">
        <v>113</v>
      </c>
      <c r="P19" s="17" t="s">
        <v>114</v>
      </c>
      <c r="Q19" s="68" t="s">
        <v>115</v>
      </c>
      <c r="R19" s="18">
        <f>IF(K19&gt;=30,3,IF(K19&gt;=20,2,IF(K19&gt;=1,1,"-")))</f>
        <v>3</v>
      </c>
      <c r="S19" s="18">
        <f aca="true" t="shared" si="3" ref="S19:S25">IF(K19=0,"-",IF(K19&gt;=M19,1,0))</f>
        <v>1</v>
      </c>
      <c r="T19" s="159">
        <v>1</v>
      </c>
      <c r="U19" s="18">
        <f>SUM(R19:T19)</f>
        <v>5</v>
      </c>
      <c r="V19" s="117">
        <f>ROUND((U19*B19/B$17),2)</f>
        <v>0.5</v>
      </c>
    </row>
    <row r="20" spans="1:22" ht="63" customHeight="1">
      <c r="A20" s="14" t="s">
        <v>96</v>
      </c>
      <c r="B20" s="15">
        <v>3.5</v>
      </c>
      <c r="C20" s="261">
        <f>'[1]SAR-10'!$C$76</f>
        <v>11414124.06</v>
      </c>
      <c r="D20" s="156">
        <f>SUM('[1]SAR-10'!$C$121,'[1]SAR-10'!$C$126)</f>
        <v>150</v>
      </c>
      <c r="E20" s="17">
        <f>C20/D20</f>
        <v>76094.16040000001</v>
      </c>
      <c r="F20" s="255">
        <f>'[1]SAR-10'!$D$76</f>
        <v>10708398.84</v>
      </c>
      <c r="G20" s="156">
        <f>SUM('[1]SAR-10'!$D$121,'[1]SAR-10'!$D$126)</f>
        <v>150</v>
      </c>
      <c r="H20" s="17">
        <f>F20/G20</f>
        <v>71389.3256</v>
      </c>
      <c r="I20" s="255">
        <f>'[1]SAR-10'!$E$76</f>
        <v>12086728.72</v>
      </c>
      <c r="J20" s="156">
        <f>SUM('[1]SAR-10'!$E$121,'[1]SAR-10'!$E$126)</f>
        <v>152</v>
      </c>
      <c r="K20" s="17">
        <f>I20/J20</f>
        <v>79517.95210526316</v>
      </c>
      <c r="L20" s="102" t="s">
        <v>169</v>
      </c>
      <c r="M20" s="287">
        <v>35000</v>
      </c>
      <c r="N20" s="262" t="s">
        <v>230</v>
      </c>
      <c r="O20" s="69" t="s">
        <v>116</v>
      </c>
      <c r="P20" s="71" t="s">
        <v>117</v>
      </c>
      <c r="Q20" s="68" t="s">
        <v>118</v>
      </c>
      <c r="R20" s="18">
        <f>IF(K20&gt;=30000,3,IF(K20&gt;=20000,2,IF(K20&gt;=1,1,"-")))</f>
        <v>3</v>
      </c>
      <c r="S20" s="18">
        <f t="shared" si="3"/>
        <v>1</v>
      </c>
      <c r="T20" s="159">
        <v>1</v>
      </c>
      <c r="U20" s="18">
        <f>SUM(R20:T20)</f>
        <v>5</v>
      </c>
      <c r="V20" s="117">
        <f>ROUND((U20*B20/B$17),2)</f>
        <v>0.5</v>
      </c>
    </row>
    <row r="21" spans="1:22" ht="63" customHeight="1">
      <c r="A21" s="30" t="s">
        <v>97</v>
      </c>
      <c r="B21" s="35">
        <v>3.5</v>
      </c>
      <c r="C21" s="260">
        <f>'[1]SAR-10'!$C$79</f>
        <v>41920185.08</v>
      </c>
      <c r="D21" s="173">
        <f>SUM('[1]SAR-10'!$C$121,'[1]SAR-10'!$C$126)</f>
        <v>150</v>
      </c>
      <c r="E21" s="33">
        <f>C21/D21</f>
        <v>279467.9005333333</v>
      </c>
      <c r="F21" s="255">
        <f>'[1]SAR-10'!$D$79</f>
        <v>39914974.09</v>
      </c>
      <c r="G21" s="156">
        <f>SUM('[1]SAR-10'!$D$121,'[1]SAR-10'!$D$126)</f>
        <v>150</v>
      </c>
      <c r="H21" s="17">
        <f>F21/G21</f>
        <v>266099.8272666667</v>
      </c>
      <c r="I21" s="255">
        <f>'[1]SAR-10'!$E$79</f>
        <v>29323477.34</v>
      </c>
      <c r="J21" s="156">
        <f>SUM('[1]SAR-10'!$E$121,'[1]SAR-10'!$E$126)</f>
        <v>152</v>
      </c>
      <c r="K21" s="17">
        <f>I21/J21</f>
        <v>192917.61407894737</v>
      </c>
      <c r="L21" s="102" t="s">
        <v>169</v>
      </c>
      <c r="M21" s="287">
        <v>200000</v>
      </c>
      <c r="N21" s="262" t="s">
        <v>230</v>
      </c>
      <c r="O21" s="69" t="s">
        <v>119</v>
      </c>
      <c r="P21" s="70" t="s">
        <v>120</v>
      </c>
      <c r="Q21" s="68" t="s">
        <v>121</v>
      </c>
      <c r="R21" s="18">
        <f>IF(K21&gt;=50000,3,IF(K21&gt;=35000,2,IF(K21&gt;=1,1,"-")))</f>
        <v>3</v>
      </c>
      <c r="S21" s="18">
        <f t="shared" si="3"/>
        <v>0</v>
      </c>
      <c r="T21" s="159">
        <v>1</v>
      </c>
      <c r="U21" s="18">
        <f>SUM(R21:T21)</f>
        <v>4</v>
      </c>
      <c r="V21" s="117">
        <f>ROUND((U21*B21/B$17),2)</f>
        <v>0.4</v>
      </c>
    </row>
    <row r="22" spans="1:22" ht="63" customHeight="1">
      <c r="A22" s="14" t="s">
        <v>23</v>
      </c>
      <c r="B22" s="15">
        <v>3.5</v>
      </c>
      <c r="C22" s="156">
        <f>'[1]SAR-10'!$C$85</f>
        <v>61</v>
      </c>
      <c r="D22" s="156">
        <f>SUM('[1]SAR-10'!$C$121,'[1]SAR-10'!$C$126)</f>
        <v>150</v>
      </c>
      <c r="E22" s="15">
        <f>C22/D22*100</f>
        <v>40.666666666666664</v>
      </c>
      <c r="F22" s="156">
        <f>'[1]SAR-10'!$D$85</f>
        <v>61</v>
      </c>
      <c r="G22" s="156">
        <f>SUM('[1]SAR-10'!$D$121,'[1]SAR-10'!$D$126)</f>
        <v>150</v>
      </c>
      <c r="H22" s="15">
        <f>F22/G22*100</f>
        <v>40.666666666666664</v>
      </c>
      <c r="I22" s="156">
        <f>'[1]SAR-10'!$E$85</f>
        <v>114</v>
      </c>
      <c r="J22" s="156">
        <f>SUM('[1]SAR-10'!$E$121,'[1]SAR-10'!$E$126)</f>
        <v>152</v>
      </c>
      <c r="K22" s="15">
        <f>I22/J22*100</f>
        <v>75</v>
      </c>
      <c r="L22" s="102" t="s">
        <v>169</v>
      </c>
      <c r="M22" s="158">
        <v>25</v>
      </c>
      <c r="N22" s="262" t="s">
        <v>230</v>
      </c>
      <c r="O22" s="69" t="s">
        <v>122</v>
      </c>
      <c r="P22" s="17" t="s">
        <v>123</v>
      </c>
      <c r="Q22" s="68" t="s">
        <v>124</v>
      </c>
      <c r="R22" s="18">
        <f>IF(K22&gt;=50,3,IF(K22&gt;=35,2,IF(K22&gt;=1,1,"-")))</f>
        <v>3</v>
      </c>
      <c r="S22" s="18">
        <f t="shared" si="3"/>
        <v>1</v>
      </c>
      <c r="T22" s="159">
        <v>1</v>
      </c>
      <c r="U22" s="18">
        <f>SUM(R22:T22)</f>
        <v>5</v>
      </c>
      <c r="V22" s="117">
        <f>ROUND((U22*B22/B$17),2)</f>
        <v>0.5</v>
      </c>
    </row>
    <row r="23" spans="1:22" ht="64.5" customHeight="1">
      <c r="A23" s="36" t="s">
        <v>24</v>
      </c>
      <c r="B23" s="37">
        <v>3.5</v>
      </c>
      <c r="C23" s="163">
        <f>'[1]SAR-10'!$C$88</f>
        <v>48</v>
      </c>
      <c r="D23" s="163">
        <f>SUM('[1]SAR-10'!$C$121,'[1]SAR-10'!$C$126)</f>
        <v>150</v>
      </c>
      <c r="E23" s="37">
        <f>C23/D23*100</f>
        <v>32</v>
      </c>
      <c r="F23" s="163">
        <f>'[1]SAR-10'!$D$88</f>
        <v>57</v>
      </c>
      <c r="G23" s="163">
        <f>SUM('[1]SAR-10'!$D$121,'[1]SAR-10'!$D$126)</f>
        <v>150</v>
      </c>
      <c r="H23" s="37">
        <f>F23/G23*100</f>
        <v>38</v>
      </c>
      <c r="I23" s="163">
        <f>'[1]SAR-10'!$E$88</f>
        <v>44</v>
      </c>
      <c r="J23" s="163">
        <f>SUM('[1]SAR-10'!$E$121,'[1]SAR-10'!$E$126)</f>
        <v>152</v>
      </c>
      <c r="K23" s="37">
        <f>I23/J23*100</f>
        <v>28.947368421052634</v>
      </c>
      <c r="L23" s="103" t="s">
        <v>169</v>
      </c>
      <c r="M23" s="299">
        <v>35</v>
      </c>
      <c r="N23" s="263" t="s">
        <v>231</v>
      </c>
      <c r="O23" s="79" t="s">
        <v>125</v>
      </c>
      <c r="P23" s="39" t="s">
        <v>126</v>
      </c>
      <c r="Q23" s="85" t="s">
        <v>127</v>
      </c>
      <c r="R23" s="40">
        <f>IF(K23&gt;=40,3,IF(K23&gt;=25,2,IF(K23&gt;=1,1,"-")))</f>
        <v>2</v>
      </c>
      <c r="S23" s="40">
        <f t="shared" si="3"/>
        <v>0</v>
      </c>
      <c r="T23" s="162">
        <v>0</v>
      </c>
      <c r="U23" s="40">
        <f>SUM(R23:T23)</f>
        <v>2</v>
      </c>
      <c r="V23" s="122">
        <f>ROUND((U23*B23/B$17),2)</f>
        <v>0.2</v>
      </c>
    </row>
    <row r="24" spans="1:22" ht="21">
      <c r="A24" s="21" t="s">
        <v>19</v>
      </c>
      <c r="B24" s="22">
        <f>SUM(B25:B26)</f>
        <v>17.5</v>
      </c>
      <c r="C24" s="31"/>
      <c r="D24" s="31"/>
      <c r="E24" s="35"/>
      <c r="F24" s="31"/>
      <c r="G24" s="31"/>
      <c r="H24" s="35"/>
      <c r="I24" s="31"/>
      <c r="J24" s="31"/>
      <c r="K24" s="35"/>
      <c r="L24" s="94"/>
      <c r="M24" s="132"/>
      <c r="N24" s="144"/>
      <c r="O24" s="33"/>
      <c r="P24" s="33"/>
      <c r="Q24" s="33"/>
      <c r="R24" s="34"/>
      <c r="S24" s="34"/>
      <c r="T24" s="34"/>
      <c r="U24" s="34"/>
      <c r="V24" s="118"/>
    </row>
    <row r="25" spans="1:22" ht="84">
      <c r="A25" s="14" t="s">
        <v>25</v>
      </c>
      <c r="B25" s="15">
        <v>8.75</v>
      </c>
      <c r="C25" s="156">
        <f>'[1]SAR-10'!$C$91</f>
        <v>31</v>
      </c>
      <c r="D25" s="156">
        <f>SUM('[1]SAR-10'!$C$12,'[1]SAR-10'!$C$125)</f>
        <v>168</v>
      </c>
      <c r="E25" s="15">
        <f>C25/D25*100</f>
        <v>18.452380952380953</v>
      </c>
      <c r="F25" s="156">
        <f>'[1]SAR-10'!$D$91</f>
        <v>45</v>
      </c>
      <c r="G25" s="156">
        <f>SUM('[1]SAR-10'!$D$12,'[1]SAR-10'!$D$125)</f>
        <v>166</v>
      </c>
      <c r="H25" s="15">
        <f>F25/G25*100</f>
        <v>27.10843373493976</v>
      </c>
      <c r="I25" s="156">
        <f>'[1]SAR-10'!$E$91</f>
        <v>43</v>
      </c>
      <c r="J25" s="156">
        <f>SUM('[1]SAR-10'!$E$12,'[1]SAR-10'!$E$125)</f>
        <v>169</v>
      </c>
      <c r="K25" s="15">
        <f>I25/J25*100</f>
        <v>25.443786982248522</v>
      </c>
      <c r="L25" s="102" t="s">
        <v>169</v>
      </c>
      <c r="M25" s="158">
        <v>20</v>
      </c>
      <c r="N25" s="262">
        <v>3</v>
      </c>
      <c r="O25" s="69" t="s">
        <v>128</v>
      </c>
      <c r="P25" s="17" t="s">
        <v>129</v>
      </c>
      <c r="Q25" s="68" t="s">
        <v>130</v>
      </c>
      <c r="R25" s="18">
        <f>IF(K25&gt;=20,3,IF(K25&gt;=15,2,IF(K25&gt;=1,1,"-")))</f>
        <v>3</v>
      </c>
      <c r="S25" s="18">
        <f t="shared" si="3"/>
        <v>1</v>
      </c>
      <c r="T25" s="159">
        <v>1</v>
      </c>
      <c r="U25" s="18">
        <f>SUM(R25:T25)</f>
        <v>5</v>
      </c>
      <c r="V25" s="117">
        <f>ROUND((U25*B25/B$17),2)</f>
        <v>1.25</v>
      </c>
    </row>
    <row r="26" spans="1:22" ht="84">
      <c r="A26" s="41" t="s">
        <v>26</v>
      </c>
      <c r="B26" s="42">
        <v>8.75</v>
      </c>
      <c r="C26" s="43" t="s">
        <v>105</v>
      </c>
      <c r="D26" s="43" t="s">
        <v>105</v>
      </c>
      <c r="E26" s="164">
        <f>'[1]SAR-10'!$C$93</f>
        <v>2</v>
      </c>
      <c r="F26" s="43" t="s">
        <v>105</v>
      </c>
      <c r="G26" s="43" t="s">
        <v>105</v>
      </c>
      <c r="H26" s="164">
        <f>'[1]SAR-10'!$D$93</f>
        <v>2</v>
      </c>
      <c r="I26" s="43" t="s">
        <v>105</v>
      </c>
      <c r="J26" s="43" t="s">
        <v>105</v>
      </c>
      <c r="K26" s="164">
        <f>'[1]SAR-10'!$E$93</f>
        <v>5</v>
      </c>
      <c r="L26" s="187" t="s">
        <v>169</v>
      </c>
      <c r="M26" s="188">
        <v>2</v>
      </c>
      <c r="N26" s="262">
        <v>3</v>
      </c>
      <c r="O26" s="189">
        <v>1</v>
      </c>
      <c r="P26" s="189">
        <v>2</v>
      </c>
      <c r="Q26" s="190" t="s">
        <v>189</v>
      </c>
      <c r="R26" s="18">
        <f>IF(K26&gt;=3,3,IF(K26=2,2,IF(K26=1,1,"-")))</f>
        <v>3</v>
      </c>
      <c r="S26" s="18">
        <f>IF(K26=0,"-",IF(K26&gt;=M26,1,0))</f>
        <v>1</v>
      </c>
      <c r="T26" s="159">
        <v>1</v>
      </c>
      <c r="U26" s="18">
        <f>SUM(R26:T26)</f>
        <v>5</v>
      </c>
      <c r="V26" s="117">
        <f>ROUND((U26*B26/B$17),2)</f>
        <v>1.25</v>
      </c>
    </row>
    <row r="27" spans="1:23" ht="21">
      <c r="A27" s="47" t="s">
        <v>78</v>
      </c>
      <c r="B27" s="48"/>
      <c r="C27" s="49"/>
      <c r="D27" s="49"/>
      <c r="E27" s="52"/>
      <c r="F27" s="49"/>
      <c r="G27" s="49"/>
      <c r="H27" s="52"/>
      <c r="I27" s="49"/>
      <c r="J27" s="49"/>
      <c r="K27" s="52"/>
      <c r="L27" s="95"/>
      <c r="M27" s="136"/>
      <c r="N27" s="145"/>
      <c r="O27" s="51"/>
      <c r="P27" s="51"/>
      <c r="Q27" s="51"/>
      <c r="R27" s="309">
        <f>ROUND((((R19*$B$19)+(R20*$B$20)+(R21*$B$21)+(R22*$B$22)+(R23*$B$23)+(R25*$B$25)+(R26*$B$26))/$B$17),2)</f>
        <v>2.9</v>
      </c>
      <c r="S27" s="309">
        <f>ROUND((((S19*$B$19)+(S20*$B$20)+(S21*$B$21)+(S22*$B$22)+(S23*$B$23)+(S25*$B$25)+(S26*$B$26))/$B$17),2)</f>
        <v>0.8</v>
      </c>
      <c r="T27" s="309">
        <f>ROUND((((T19*$B$19)+(T20*$B$20)+(T21*$B$21)+(T22*$B$22)+(T23*$B$23)+(T25*$B$25)+(T26*$B$26))/$B$17),2)</f>
        <v>0.9</v>
      </c>
      <c r="U27" s="309">
        <f>ROUND(((SUM(U19,U20,U21,U22,U23,U25,U26))/7),2)</f>
        <v>4.43</v>
      </c>
      <c r="V27" s="309">
        <f>ROUND((SUM(V19:V26)),2)</f>
        <v>4.6</v>
      </c>
      <c r="W27" s="307"/>
    </row>
    <row r="28" spans="1:22" ht="21">
      <c r="A28" s="56" t="s">
        <v>9</v>
      </c>
      <c r="B28" s="57">
        <f>SUM(B29)</f>
        <v>20</v>
      </c>
      <c r="C28" s="58"/>
      <c r="D28" s="58"/>
      <c r="E28" s="57"/>
      <c r="F28" s="58"/>
      <c r="G28" s="58"/>
      <c r="H28" s="57"/>
      <c r="I28" s="58"/>
      <c r="J28" s="58"/>
      <c r="K28" s="57"/>
      <c r="L28" s="96"/>
      <c r="M28" s="137"/>
      <c r="N28" s="149"/>
      <c r="O28" s="59"/>
      <c r="P28" s="59"/>
      <c r="Q28" s="59"/>
      <c r="R28" s="60"/>
      <c r="S28" s="60"/>
      <c r="T28" s="60"/>
      <c r="U28" s="60"/>
      <c r="V28" s="124"/>
    </row>
    <row r="29" spans="1:22" ht="21">
      <c r="A29" s="21" t="s">
        <v>21</v>
      </c>
      <c r="B29" s="22">
        <f>SUM(B30:B34)</f>
        <v>20</v>
      </c>
      <c r="C29" s="23"/>
      <c r="D29" s="23"/>
      <c r="E29" s="22"/>
      <c r="F29" s="23"/>
      <c r="G29" s="23"/>
      <c r="H29" s="22"/>
      <c r="I29" s="23"/>
      <c r="J29" s="23"/>
      <c r="K29" s="22"/>
      <c r="L29" s="88"/>
      <c r="M29" s="135"/>
      <c r="N29" s="147"/>
      <c r="O29" s="24"/>
      <c r="P29" s="24"/>
      <c r="Q29" s="24"/>
      <c r="R29" s="46"/>
      <c r="S29" s="46"/>
      <c r="T29" s="46"/>
      <c r="U29" s="46"/>
      <c r="V29" s="121"/>
    </row>
    <row r="30" spans="1:22" ht="108.75" customHeight="1">
      <c r="A30" s="14" t="s">
        <v>29</v>
      </c>
      <c r="B30" s="15">
        <v>4</v>
      </c>
      <c r="C30" s="156">
        <f>'[1]SAR-10'!$C$95</f>
        <v>2387</v>
      </c>
      <c r="D30" s="156">
        <f>'[1]SAR-10'!$C$121</f>
        <v>150</v>
      </c>
      <c r="E30" s="15">
        <f>C30/D30*100</f>
        <v>1591.3333333333335</v>
      </c>
      <c r="F30" s="156">
        <f>'[1]SAR-10'!$D$95</f>
        <v>2031</v>
      </c>
      <c r="G30" s="156">
        <f>'[1]SAR-10'!$D$121</f>
        <v>150</v>
      </c>
      <c r="H30" s="15">
        <f>F30/G30*100</f>
        <v>1354</v>
      </c>
      <c r="I30" s="156">
        <f>'[1]SAR-10'!$E$95</f>
        <v>2014</v>
      </c>
      <c r="J30" s="156">
        <f>'[1]SAR-10'!$E$121</f>
        <v>152</v>
      </c>
      <c r="K30" s="15">
        <f>I30/J30*100</f>
        <v>1325</v>
      </c>
      <c r="L30" s="102" t="s">
        <v>169</v>
      </c>
      <c r="M30" s="158">
        <v>900</v>
      </c>
      <c r="N30" s="262">
        <v>4</v>
      </c>
      <c r="O30" s="69" t="s">
        <v>113</v>
      </c>
      <c r="P30" s="17" t="s">
        <v>114</v>
      </c>
      <c r="Q30" s="68" t="s">
        <v>115</v>
      </c>
      <c r="R30" s="18">
        <f>IF(K30&gt;=30,3,IF(K30&gt;=20,2,IF(K30&gt;=1,1,"-")))</f>
        <v>3</v>
      </c>
      <c r="S30" s="18">
        <f>IF(K30=0,"-",IF(K30&gt;=M30,1,0))</f>
        <v>1</v>
      </c>
      <c r="T30" s="159">
        <v>1</v>
      </c>
      <c r="U30" s="18">
        <f>SUM(R30:T30)</f>
        <v>5</v>
      </c>
      <c r="V30" s="117">
        <f>ROUND((U30*B30/B$28),2)</f>
        <v>1</v>
      </c>
    </row>
    <row r="31" spans="1:22" ht="84" customHeight="1">
      <c r="A31" s="14" t="s">
        <v>30</v>
      </c>
      <c r="B31" s="15">
        <v>4</v>
      </c>
      <c r="C31" s="156">
        <f>'[1]SAR-10'!$C$96</f>
        <v>25</v>
      </c>
      <c r="D31" s="156">
        <f>'[1]SAR-10'!$C$12</f>
        <v>168</v>
      </c>
      <c r="E31" s="15">
        <f>C31/D31*100</f>
        <v>14.880952380952381</v>
      </c>
      <c r="F31" s="156">
        <f>'[1]SAR-10'!$D$96</f>
        <v>34</v>
      </c>
      <c r="G31" s="156">
        <f>'[1]SAR-10'!$D$12</f>
        <v>166</v>
      </c>
      <c r="H31" s="15">
        <f>F31/G31*100</f>
        <v>20.481927710843372</v>
      </c>
      <c r="I31" s="156">
        <f>'[1]SAR-10'!$E$96</f>
        <v>79</v>
      </c>
      <c r="J31" s="156">
        <f>'[1]SAR-10'!$E$12</f>
        <v>169</v>
      </c>
      <c r="K31" s="15">
        <f>I31/J31*100</f>
        <v>46.74556213017752</v>
      </c>
      <c r="L31" s="102" t="s">
        <v>169</v>
      </c>
      <c r="M31" s="158">
        <v>20</v>
      </c>
      <c r="N31" s="262">
        <v>3</v>
      </c>
      <c r="O31" s="69" t="s">
        <v>128</v>
      </c>
      <c r="P31" s="17" t="s">
        <v>131</v>
      </c>
      <c r="Q31" s="68" t="s">
        <v>132</v>
      </c>
      <c r="R31" s="18">
        <f>IF(K31&gt;=25,3,IF(K31&gt;=15,2,IF(K31&gt;=1,1,"-")))</f>
        <v>3</v>
      </c>
      <c r="S31" s="18">
        <f>IF(K31=0,"-",IF(K31&gt;=M31,1,0))</f>
        <v>1</v>
      </c>
      <c r="T31" s="159">
        <v>1</v>
      </c>
      <c r="U31" s="18">
        <f>SUM(R31:T31)</f>
        <v>5</v>
      </c>
      <c r="V31" s="117">
        <f>ROUND((U31*B31/B$28),2)</f>
        <v>1</v>
      </c>
    </row>
    <row r="32" spans="1:22" ht="63">
      <c r="A32" s="14" t="s">
        <v>27</v>
      </c>
      <c r="B32" s="15">
        <v>4</v>
      </c>
      <c r="C32" s="16" t="s">
        <v>105</v>
      </c>
      <c r="D32" s="16" t="s">
        <v>105</v>
      </c>
      <c r="E32" s="159">
        <v>3</v>
      </c>
      <c r="F32" s="15" t="s">
        <v>105</v>
      </c>
      <c r="G32" s="16" t="s">
        <v>105</v>
      </c>
      <c r="H32" s="159">
        <v>5</v>
      </c>
      <c r="I32" s="15" t="s">
        <v>105</v>
      </c>
      <c r="J32" s="16" t="s">
        <v>105</v>
      </c>
      <c r="K32" s="159">
        <v>5</v>
      </c>
      <c r="L32" s="166" t="s">
        <v>169</v>
      </c>
      <c r="M32" s="165">
        <v>5</v>
      </c>
      <c r="N32" s="262">
        <v>3</v>
      </c>
      <c r="O32" s="67">
        <v>1</v>
      </c>
      <c r="P32" s="67">
        <v>2</v>
      </c>
      <c r="Q32" s="68" t="s">
        <v>133</v>
      </c>
      <c r="R32" s="18">
        <f>IF(K32&gt;=3,3,IF(K32=2,2,IF(K32=1,1,"-")))</f>
        <v>3</v>
      </c>
      <c r="S32" s="18">
        <f>IF(K32=0,"-",IF(K32&gt;=M32,1,0))</f>
        <v>1</v>
      </c>
      <c r="T32" s="159">
        <v>1</v>
      </c>
      <c r="U32" s="18">
        <f>SUM(R32:T32)</f>
        <v>5</v>
      </c>
      <c r="V32" s="117">
        <f>ROUND((U32*B32/B$28),2)</f>
        <v>1</v>
      </c>
    </row>
    <row r="33" spans="1:22" ht="42" customHeight="1">
      <c r="A33" s="14" t="s">
        <v>31</v>
      </c>
      <c r="B33" s="15">
        <v>4</v>
      </c>
      <c r="C33" s="156">
        <f>'[1]SAR-10'!$C$97</f>
        <v>1235208.18</v>
      </c>
      <c r="D33" s="156">
        <f>'[1]SAR-10'!$C$121</f>
        <v>150</v>
      </c>
      <c r="E33" s="15">
        <f>C33/D33</f>
        <v>8234.7212</v>
      </c>
      <c r="F33" s="156">
        <f>'[1]SAR-10'!$D$97</f>
        <v>1254651</v>
      </c>
      <c r="G33" s="156">
        <f>'[1]SAR-10'!$D$121</f>
        <v>150</v>
      </c>
      <c r="H33" s="15">
        <f>F33/G33</f>
        <v>8364.34</v>
      </c>
      <c r="I33" s="156">
        <f>'[1]SAR-10'!$E$97</f>
        <v>1203710</v>
      </c>
      <c r="J33" s="156">
        <f>'[1]SAR-10'!$E$121</f>
        <v>152</v>
      </c>
      <c r="K33" s="15">
        <f>I33/J33</f>
        <v>7919.144736842105</v>
      </c>
      <c r="L33" s="102" t="s">
        <v>169</v>
      </c>
      <c r="M33" s="158">
        <v>7000</v>
      </c>
      <c r="N33" s="262">
        <v>4</v>
      </c>
      <c r="O33" s="69" t="s">
        <v>134</v>
      </c>
      <c r="P33" s="70" t="s">
        <v>136</v>
      </c>
      <c r="Q33" s="68" t="s">
        <v>135</v>
      </c>
      <c r="R33" s="18">
        <f>IF(K33&gt;=7500,3,IF(K33&gt;=5000,2,IF(K33&gt;=1,1,"-")))</f>
        <v>3</v>
      </c>
      <c r="S33" s="18">
        <f>IF(K33=0,"-",IF(K33&gt;=M33,1,0))</f>
        <v>1</v>
      </c>
      <c r="T33" s="159">
        <v>1</v>
      </c>
      <c r="U33" s="18">
        <f>SUM(R33:T33)</f>
        <v>5</v>
      </c>
      <c r="V33" s="117">
        <f>ROUND((U33*B33/B$28),2)</f>
        <v>1</v>
      </c>
    </row>
    <row r="34" spans="1:22" ht="21">
      <c r="A34" s="36" t="s">
        <v>98</v>
      </c>
      <c r="B34" s="37">
        <v>4</v>
      </c>
      <c r="C34" s="38"/>
      <c r="D34" s="38"/>
      <c r="E34" s="300">
        <v>95.93</v>
      </c>
      <c r="F34" s="38"/>
      <c r="G34" s="38"/>
      <c r="H34" s="300">
        <v>86.91</v>
      </c>
      <c r="I34" s="38"/>
      <c r="J34" s="168"/>
      <c r="K34" s="300">
        <v>83.57</v>
      </c>
      <c r="L34" s="104" t="s">
        <v>169</v>
      </c>
      <c r="M34" s="167">
        <v>80</v>
      </c>
      <c r="N34" s="263">
        <v>2</v>
      </c>
      <c r="O34" s="79" t="s">
        <v>137</v>
      </c>
      <c r="P34" s="39" t="s">
        <v>138</v>
      </c>
      <c r="Q34" s="39" t="s">
        <v>139</v>
      </c>
      <c r="R34" s="40">
        <f>IF(K34&gt;80,3,IF(K34&gt;=71,2,IF(K34&gt;=61,1,"-")))</f>
        <v>3</v>
      </c>
      <c r="S34" s="40">
        <f>IF(K34=0,"-",IF(K34&gt;=M34,1,0))</f>
        <v>1</v>
      </c>
      <c r="T34" s="162">
        <v>1</v>
      </c>
      <c r="U34" s="40">
        <f>SUM(R34:T34)</f>
        <v>5</v>
      </c>
      <c r="V34" s="122">
        <f>ROUND((U34*B34/B$28),2)</f>
        <v>1</v>
      </c>
    </row>
    <row r="35" spans="1:22" ht="21">
      <c r="A35" s="21" t="s">
        <v>19</v>
      </c>
      <c r="B35" s="35"/>
      <c r="C35" s="31"/>
      <c r="D35" s="31"/>
      <c r="E35" s="34"/>
      <c r="F35" s="31"/>
      <c r="G35" s="31"/>
      <c r="H35" s="34"/>
      <c r="I35" s="31"/>
      <c r="J35" s="31"/>
      <c r="K35" s="34"/>
      <c r="L35" s="97"/>
      <c r="M35" s="138"/>
      <c r="N35" s="144"/>
      <c r="O35" s="33"/>
      <c r="P35" s="33"/>
      <c r="Q35" s="33"/>
      <c r="R35" s="34"/>
      <c r="S35" s="34"/>
      <c r="T35" s="34"/>
      <c r="U35" s="34"/>
      <c r="V35" s="118"/>
    </row>
    <row r="36" spans="1:22" ht="63">
      <c r="A36" s="14" t="s">
        <v>28</v>
      </c>
      <c r="B36" s="15" t="s">
        <v>105</v>
      </c>
      <c r="C36" s="210" t="s">
        <v>105</v>
      </c>
      <c r="D36" s="210" t="s">
        <v>105</v>
      </c>
      <c r="E36" s="169">
        <v>6</v>
      </c>
      <c r="F36" s="179" t="s">
        <v>105</v>
      </c>
      <c r="G36" s="179" t="s">
        <v>105</v>
      </c>
      <c r="H36" s="169">
        <v>6</v>
      </c>
      <c r="I36" s="179" t="s">
        <v>105</v>
      </c>
      <c r="J36" s="179" t="s">
        <v>105</v>
      </c>
      <c r="K36" s="169">
        <v>6</v>
      </c>
      <c r="L36" s="197"/>
      <c r="M36" s="198"/>
      <c r="N36" s="199"/>
      <c r="O36" s="200" t="s">
        <v>105</v>
      </c>
      <c r="P36" s="200" t="s">
        <v>105</v>
      </c>
      <c r="Q36" s="200" t="s">
        <v>105</v>
      </c>
      <c r="R36" s="201"/>
      <c r="S36" s="201"/>
      <c r="T36" s="201"/>
      <c r="U36" s="201"/>
      <c r="V36" s="202"/>
    </row>
    <row r="37" spans="1:22" ht="63">
      <c r="A37" s="14" t="s">
        <v>32</v>
      </c>
      <c r="B37" s="15" t="s">
        <v>105</v>
      </c>
      <c r="C37" s="156">
        <f>'[1]SAR-10'!$C$99</f>
        <v>8722589.63</v>
      </c>
      <c r="D37" s="156">
        <f>'[1]SAR-10'!$C$121</f>
        <v>150</v>
      </c>
      <c r="E37" s="156">
        <f>C37/D37</f>
        <v>58150.59753333334</v>
      </c>
      <c r="F37" s="156">
        <f>'[1]SAR-10'!$D$99</f>
        <v>7043443.81</v>
      </c>
      <c r="G37" s="156">
        <f>'[1]SAR-10'!$D$121</f>
        <v>150</v>
      </c>
      <c r="H37" s="156">
        <f>F37/G37</f>
        <v>46956.29206666666</v>
      </c>
      <c r="I37" s="156">
        <f>'[1]SAR-10'!$E$99</f>
        <v>6700314.72</v>
      </c>
      <c r="J37" s="156">
        <f>'[1]SAR-10'!$E$121</f>
        <v>152</v>
      </c>
      <c r="K37" s="156">
        <f>I37/J37</f>
        <v>44081.01789473684</v>
      </c>
      <c r="L37" s="203"/>
      <c r="M37" s="204"/>
      <c r="N37" s="199"/>
      <c r="O37" s="200" t="s">
        <v>105</v>
      </c>
      <c r="P37" s="200" t="s">
        <v>105</v>
      </c>
      <c r="Q37" s="200" t="s">
        <v>105</v>
      </c>
      <c r="R37" s="201"/>
      <c r="S37" s="201"/>
      <c r="T37" s="201"/>
      <c r="U37" s="201"/>
      <c r="V37" s="202"/>
    </row>
    <row r="38" spans="1:22" ht="42">
      <c r="A38" s="61" t="s">
        <v>33</v>
      </c>
      <c r="B38" s="42" t="s">
        <v>105</v>
      </c>
      <c r="C38" s="211" t="s">
        <v>105</v>
      </c>
      <c r="D38" s="211" t="s">
        <v>105</v>
      </c>
      <c r="E38" s="196">
        <v>3</v>
      </c>
      <c r="F38" s="212" t="s">
        <v>105</v>
      </c>
      <c r="G38" s="212" t="s">
        <v>105</v>
      </c>
      <c r="H38" s="196">
        <v>5</v>
      </c>
      <c r="I38" s="212" t="s">
        <v>105</v>
      </c>
      <c r="J38" s="212" t="s">
        <v>105</v>
      </c>
      <c r="K38" s="288">
        <v>5</v>
      </c>
      <c r="L38" s="205"/>
      <c r="M38" s="206"/>
      <c r="N38" s="207"/>
      <c r="O38" s="200" t="s">
        <v>105</v>
      </c>
      <c r="P38" s="200" t="s">
        <v>105</v>
      </c>
      <c r="Q38" s="200" t="s">
        <v>105</v>
      </c>
      <c r="R38" s="208"/>
      <c r="S38" s="208"/>
      <c r="T38" s="208"/>
      <c r="U38" s="208"/>
      <c r="V38" s="209"/>
    </row>
    <row r="39" spans="1:24" ht="21">
      <c r="A39" s="47" t="s">
        <v>79</v>
      </c>
      <c r="B39" s="26"/>
      <c r="C39" s="28"/>
      <c r="D39" s="28"/>
      <c r="E39" s="313"/>
      <c r="F39" s="313"/>
      <c r="G39" s="313"/>
      <c r="H39" s="313"/>
      <c r="I39" s="313"/>
      <c r="J39" s="313"/>
      <c r="K39" s="313"/>
      <c r="L39" s="314"/>
      <c r="M39" s="315"/>
      <c r="N39" s="146"/>
      <c r="O39" s="29"/>
      <c r="P39" s="29"/>
      <c r="Q39" s="29"/>
      <c r="R39" s="120">
        <f>ROUND((((R30*$B$30)+(R31*$B$31)+(R32*$B$32)+(R33*$B$33)+(R34*$B$34))/$B$28),2)</f>
        <v>3</v>
      </c>
      <c r="S39" s="120">
        <f>ROUND((((S30*$B$30)+(S31*$B$31)+(S32*$B$32)+(S33*$B$33)+(S34*$B$34))/$B$28),2)</f>
        <v>1</v>
      </c>
      <c r="T39" s="120">
        <f>ROUND((((T30*$B$30)+(T31*$B$31)+(T32*$B$32)+(T33*$B$33)+(T34*$B$34))/$B$28),2)</f>
        <v>1</v>
      </c>
      <c r="U39" s="120">
        <f>ROUND(((SUM(U30:U34))/5),2)</f>
        <v>5</v>
      </c>
      <c r="V39" s="120">
        <f>ROUND((SUM(V30:V34)),2)</f>
        <v>5</v>
      </c>
      <c r="W39" s="308"/>
      <c r="X39" s="310"/>
    </row>
    <row r="40" spans="1:22" ht="21" customHeight="1">
      <c r="A40" s="25" t="s">
        <v>182</v>
      </c>
      <c r="B40" s="26">
        <v>10</v>
      </c>
      <c r="C40" s="28"/>
      <c r="D40" s="28"/>
      <c r="E40" s="26"/>
      <c r="F40" s="28"/>
      <c r="G40" s="28"/>
      <c r="H40" s="26"/>
      <c r="I40" s="28"/>
      <c r="J40" s="28"/>
      <c r="K40" s="26"/>
      <c r="L40" s="86"/>
      <c r="M40" s="134"/>
      <c r="N40" s="146"/>
      <c r="O40" s="29"/>
      <c r="P40" s="29"/>
      <c r="Q40" s="29"/>
      <c r="R40" s="54"/>
      <c r="S40" s="54"/>
      <c r="T40" s="54"/>
      <c r="U40" s="54"/>
      <c r="V40" s="120"/>
    </row>
    <row r="41" spans="1:22" ht="21">
      <c r="A41" s="21" t="s">
        <v>21</v>
      </c>
      <c r="B41" s="22">
        <f>SUM(B42:B43)</f>
        <v>10</v>
      </c>
      <c r="C41" s="23"/>
      <c r="D41" s="23"/>
      <c r="E41" s="22"/>
      <c r="F41" s="23"/>
      <c r="G41" s="23"/>
      <c r="H41" s="22"/>
      <c r="I41" s="23"/>
      <c r="J41" s="23"/>
      <c r="K41" s="22"/>
      <c r="L41" s="88"/>
      <c r="M41" s="135"/>
      <c r="N41" s="147"/>
      <c r="O41" s="24"/>
      <c r="P41" s="24"/>
      <c r="Q41" s="24"/>
      <c r="R41" s="46"/>
      <c r="S41" s="46"/>
      <c r="T41" s="46"/>
      <c r="U41" s="46"/>
      <c r="V41" s="121"/>
    </row>
    <row r="42" spans="1:22" ht="84">
      <c r="A42" s="14" t="s">
        <v>34</v>
      </c>
      <c r="B42" s="15">
        <v>5</v>
      </c>
      <c r="C42" s="156">
        <f>'[1]SAR-10'!$C$100</f>
        <v>226</v>
      </c>
      <c r="D42" s="156">
        <f>'[1]SAR-10'!$C$27</f>
        <v>2587</v>
      </c>
      <c r="E42" s="15">
        <f>C42/D42*100</f>
        <v>8.735987630459991</v>
      </c>
      <c r="F42" s="156">
        <f>'[1]SAR-10'!$D$100</f>
        <v>464</v>
      </c>
      <c r="G42" s="156">
        <f>'[1]SAR-10'!$D$27</f>
        <v>2951</v>
      </c>
      <c r="H42" s="15">
        <f>F42/G42*100</f>
        <v>15.723483564893256</v>
      </c>
      <c r="I42" s="156">
        <f>'[1]SAR-10'!$E$100</f>
        <v>582</v>
      </c>
      <c r="J42" s="156">
        <f>'[1]SAR-10'!$E$27</f>
        <v>2452</v>
      </c>
      <c r="K42" s="15">
        <f>I42/J42*100</f>
        <v>23.73572593800979</v>
      </c>
      <c r="L42" s="102" t="s">
        <v>169</v>
      </c>
      <c r="M42" s="158">
        <v>3</v>
      </c>
      <c r="N42" s="262">
        <v>8</v>
      </c>
      <c r="O42" s="69" t="s">
        <v>140</v>
      </c>
      <c r="P42" s="17" t="s">
        <v>141</v>
      </c>
      <c r="Q42" s="68" t="s">
        <v>142</v>
      </c>
      <c r="R42" s="18">
        <f>IF(K42&gt;2,3,IF(K42&gt;=1.5,2,IF(K42&gt;=1,1,"-")))</f>
        <v>3</v>
      </c>
      <c r="S42" s="18">
        <f>IF(K42=0,"-",IF(K42&gt;=M42,1,0))</f>
        <v>1</v>
      </c>
      <c r="T42" s="159">
        <v>1</v>
      </c>
      <c r="U42" s="18">
        <f>SUM(R42:T42)</f>
        <v>5</v>
      </c>
      <c r="V42" s="117">
        <f>ROUND((U42*B42/B$40),2)</f>
        <v>2.5</v>
      </c>
    </row>
    <row r="43" spans="1:22" ht="63" customHeight="1">
      <c r="A43" s="14" t="s">
        <v>35</v>
      </c>
      <c r="B43" s="15">
        <v>5</v>
      </c>
      <c r="C43" s="192">
        <f>'[1]SAR-10'!$C$101</f>
        <v>902988.45</v>
      </c>
      <c r="D43" s="254">
        <f>'[1]SAR-10'!$C$105</f>
        <v>176120510</v>
      </c>
      <c r="E43" s="216">
        <f>C43/D43*100</f>
        <v>0.5127105582421945</v>
      </c>
      <c r="F43" s="192">
        <f>'[1]SAR-10'!$D$101</f>
        <v>1785263.5</v>
      </c>
      <c r="G43" s="254">
        <f>'[1]SAR-10'!$D$105</f>
        <v>214113559.3</v>
      </c>
      <c r="H43" s="216">
        <f>F43/G43*100</f>
        <v>0.8337928274307099</v>
      </c>
      <c r="I43" s="156">
        <f>'[1]SAR-10'!$E$101</f>
        <v>1289630.67</v>
      </c>
      <c r="J43" s="255">
        <f>'[1]SAR-10'!$E$105</f>
        <v>181018362.18</v>
      </c>
      <c r="K43" s="225">
        <f>I43/J43*100</f>
        <v>0.7124308575489289</v>
      </c>
      <c r="L43" s="215" t="s">
        <v>169</v>
      </c>
      <c r="M43" s="158">
        <v>0.55</v>
      </c>
      <c r="N43" s="262">
        <v>3</v>
      </c>
      <c r="O43" s="213" t="s">
        <v>191</v>
      </c>
      <c r="P43" s="213" t="s">
        <v>192</v>
      </c>
      <c r="Q43" s="214" t="s">
        <v>190</v>
      </c>
      <c r="R43" s="18">
        <f>IF(I43=0,"-",IF(I43&gt;=(1%*J43),3,IF(I43&gt;=(0.5%*J43),2,IF(I43&gt;=(0.01%*J43),1,"-"))))</f>
        <v>2</v>
      </c>
      <c r="S43" s="18">
        <f>IF(K43=0,"-",IF(K43&gt;=M43,1,0))</f>
        <v>1</v>
      </c>
      <c r="T43" s="159">
        <v>0</v>
      </c>
      <c r="U43" s="195">
        <f>SUM(R43:T43)</f>
        <v>3</v>
      </c>
      <c r="V43" s="117">
        <f>ROUND((U43*B43/B$40),2)</f>
        <v>1.5</v>
      </c>
    </row>
    <row r="44" spans="1:22" ht="21">
      <c r="A44" s="13" t="s">
        <v>19</v>
      </c>
      <c r="B44" s="15"/>
      <c r="C44" s="16"/>
      <c r="D44" s="16"/>
      <c r="E44" s="15"/>
      <c r="F44" s="16"/>
      <c r="G44" s="16"/>
      <c r="H44" s="15"/>
      <c r="I44" s="16"/>
      <c r="J44" s="16"/>
      <c r="K44" s="15"/>
      <c r="L44" s="93"/>
      <c r="M44" s="131"/>
      <c r="N44" s="143"/>
      <c r="O44" s="17"/>
      <c r="P44" s="17"/>
      <c r="Q44" s="17"/>
      <c r="R44" s="18"/>
      <c r="S44" s="18"/>
      <c r="T44" s="18"/>
      <c r="U44" s="18"/>
      <c r="V44" s="117"/>
    </row>
    <row r="45" spans="1:22" ht="42" customHeight="1">
      <c r="A45" s="14" t="s">
        <v>99</v>
      </c>
      <c r="B45" s="15" t="s">
        <v>105</v>
      </c>
      <c r="C45" s="16" t="s">
        <v>105</v>
      </c>
      <c r="D45" s="16" t="s">
        <v>105</v>
      </c>
      <c r="E45" s="16" t="s">
        <v>105</v>
      </c>
      <c r="F45" s="16" t="s">
        <v>105</v>
      </c>
      <c r="G45" s="16" t="s">
        <v>105</v>
      </c>
      <c r="H45" s="16" t="s">
        <v>105</v>
      </c>
      <c r="I45" s="16" t="s">
        <v>105</v>
      </c>
      <c r="J45" s="16" t="s">
        <v>105</v>
      </c>
      <c r="K45" s="169">
        <v>2</v>
      </c>
      <c r="L45" s="99"/>
      <c r="M45" s="139"/>
      <c r="N45" s="150"/>
      <c r="O45" s="75" t="s">
        <v>105</v>
      </c>
      <c r="P45" s="75" t="s">
        <v>105</v>
      </c>
      <c r="Q45" s="75" t="s">
        <v>105</v>
      </c>
      <c r="R45" s="76"/>
      <c r="S45" s="76"/>
      <c r="T45" s="76"/>
      <c r="U45" s="76"/>
      <c r="V45" s="125"/>
    </row>
    <row r="46" spans="1:22" ht="42" customHeight="1">
      <c r="A46" s="41" t="s">
        <v>12</v>
      </c>
      <c r="B46" s="42" t="s">
        <v>105</v>
      </c>
      <c r="C46" s="16" t="s">
        <v>105</v>
      </c>
      <c r="D46" s="16" t="s">
        <v>105</v>
      </c>
      <c r="E46" s="256">
        <v>2</v>
      </c>
      <c r="F46" s="16" t="s">
        <v>105</v>
      </c>
      <c r="G46" s="16" t="s">
        <v>105</v>
      </c>
      <c r="H46" s="256">
        <v>2</v>
      </c>
      <c r="I46" s="62" t="s">
        <v>105</v>
      </c>
      <c r="J46" s="62" t="s">
        <v>105</v>
      </c>
      <c r="K46" s="289">
        <v>2</v>
      </c>
      <c r="L46" s="105"/>
      <c r="M46" s="140"/>
      <c r="N46" s="148"/>
      <c r="O46" s="75" t="s">
        <v>105</v>
      </c>
      <c r="P46" s="75" t="s">
        <v>105</v>
      </c>
      <c r="Q46" s="75" t="s">
        <v>105</v>
      </c>
      <c r="R46" s="78"/>
      <c r="S46" s="78"/>
      <c r="T46" s="78"/>
      <c r="U46" s="78"/>
      <c r="V46" s="123"/>
    </row>
    <row r="47" spans="1:23" ht="21">
      <c r="A47" s="47" t="s">
        <v>80</v>
      </c>
      <c r="B47" s="48"/>
      <c r="C47" s="49"/>
      <c r="D47" s="49"/>
      <c r="E47" s="63"/>
      <c r="F47" s="64"/>
      <c r="G47" s="64"/>
      <c r="H47" s="63"/>
      <c r="I47" s="64"/>
      <c r="J47" s="64"/>
      <c r="K47" s="63"/>
      <c r="L47" s="98"/>
      <c r="M47" s="133"/>
      <c r="N47" s="145"/>
      <c r="O47" s="51"/>
      <c r="P47" s="51"/>
      <c r="Q47" s="51"/>
      <c r="R47" s="120">
        <f>ROUND((((R42*$B$42)+(R43*$B$43))/$B$40),2)</f>
        <v>2.5</v>
      </c>
      <c r="S47" s="120">
        <f>ROUND((((S42*$B$42)+(S43*$B$43))/$B$40),2)</f>
        <v>1</v>
      </c>
      <c r="T47" s="120">
        <f>ROUND((((T42*$B$42)+(T43*$B$43))/$B$40),2)</f>
        <v>0.5</v>
      </c>
      <c r="U47" s="120">
        <f>ROUND(((SUM(U42:U43))/2),2)</f>
        <v>4</v>
      </c>
      <c r="V47" s="120">
        <f>ROUND((SUM(V42:W43)),2)</f>
        <v>4</v>
      </c>
      <c r="W47" s="310"/>
    </row>
    <row r="48" spans="1:22" ht="42">
      <c r="A48" s="25" t="s">
        <v>164</v>
      </c>
      <c r="B48" s="26">
        <f>SUM(B49:B61)</f>
        <v>20</v>
      </c>
      <c r="C48" s="28"/>
      <c r="D48" s="28"/>
      <c r="E48" s="26"/>
      <c r="F48" s="28"/>
      <c r="G48" s="28"/>
      <c r="H48" s="26"/>
      <c r="I48" s="28"/>
      <c r="J48" s="28"/>
      <c r="K48" s="26"/>
      <c r="L48" s="86"/>
      <c r="M48" s="134"/>
      <c r="N48" s="146"/>
      <c r="O48" s="29"/>
      <c r="P48" s="29"/>
      <c r="Q48" s="29"/>
      <c r="R48" s="54"/>
      <c r="S48" s="54"/>
      <c r="T48" s="54"/>
      <c r="U48" s="54"/>
      <c r="V48" s="120"/>
    </row>
    <row r="49" spans="1:22" ht="42">
      <c r="A49" s="30" t="s">
        <v>36</v>
      </c>
      <c r="B49" s="35">
        <v>1.67</v>
      </c>
      <c r="C49" s="222" t="s">
        <v>105</v>
      </c>
      <c r="D49" s="222" t="s">
        <v>105</v>
      </c>
      <c r="E49" s="170">
        <v>6</v>
      </c>
      <c r="F49" s="222" t="s">
        <v>105</v>
      </c>
      <c r="G49" s="222" t="s">
        <v>105</v>
      </c>
      <c r="H49" s="170">
        <v>6</v>
      </c>
      <c r="I49" s="223" t="s">
        <v>105</v>
      </c>
      <c r="J49" s="223" t="s">
        <v>105</v>
      </c>
      <c r="K49" s="170">
        <v>6</v>
      </c>
      <c r="L49" s="106" t="s">
        <v>169</v>
      </c>
      <c r="M49" s="171">
        <v>6</v>
      </c>
      <c r="N49" s="262">
        <v>3</v>
      </c>
      <c r="O49" s="80" t="s">
        <v>143</v>
      </c>
      <c r="P49" s="82">
        <v>4</v>
      </c>
      <c r="Q49" s="81" t="s">
        <v>144</v>
      </c>
      <c r="R49" s="34">
        <f>IF(K49&gt;=5,3,IF(K49=4,2,IF(K49&gt;=1,1,"-")))</f>
        <v>3</v>
      </c>
      <c r="S49" s="34">
        <f aca="true" t="shared" si="4" ref="S49:S59">IF(K49=0,"-",IF(K49&gt;=M49,1,0))</f>
        <v>1</v>
      </c>
      <c r="T49" s="172">
        <v>1</v>
      </c>
      <c r="U49" s="34">
        <f aca="true" t="shared" si="5" ref="U49:U60">SUM(R49:T49)</f>
        <v>5</v>
      </c>
      <c r="V49" s="118">
        <f aca="true" t="shared" si="6" ref="V49:V60">ROUND((U49*B49/B$48),2)</f>
        <v>0.42</v>
      </c>
    </row>
    <row r="50" spans="1:22" ht="63">
      <c r="A50" s="14" t="s">
        <v>37</v>
      </c>
      <c r="B50" s="15">
        <v>1.67</v>
      </c>
      <c r="C50" s="210" t="s">
        <v>105</v>
      </c>
      <c r="D50" s="210" t="s">
        <v>105</v>
      </c>
      <c r="E50" s="193">
        <v>3</v>
      </c>
      <c r="F50" s="222" t="s">
        <v>105</v>
      </c>
      <c r="G50" s="222" t="s">
        <v>105</v>
      </c>
      <c r="H50" s="193">
        <v>4</v>
      </c>
      <c r="I50" s="223" t="s">
        <v>105</v>
      </c>
      <c r="J50" s="223" t="s">
        <v>105</v>
      </c>
      <c r="K50" s="169">
        <v>4</v>
      </c>
      <c r="L50" s="221" t="s">
        <v>169</v>
      </c>
      <c r="M50" s="217">
        <v>3</v>
      </c>
      <c r="N50" s="262">
        <v>3</v>
      </c>
      <c r="O50" s="218" t="s">
        <v>145</v>
      </c>
      <c r="P50" s="220">
        <v>3</v>
      </c>
      <c r="Q50" s="219" t="s">
        <v>193</v>
      </c>
      <c r="R50" s="34">
        <f>IF(K50&gt;=4,3,IF(K50=3,2,IF(K50&gt;=1,1,"-")))</f>
        <v>3</v>
      </c>
      <c r="S50" s="34">
        <f t="shared" si="4"/>
        <v>1</v>
      </c>
      <c r="T50" s="172">
        <v>1</v>
      </c>
      <c r="U50" s="34">
        <f t="shared" si="5"/>
        <v>5</v>
      </c>
      <c r="V50" s="118">
        <f t="shared" si="6"/>
        <v>0.42</v>
      </c>
    </row>
    <row r="51" spans="1:22" ht="42" customHeight="1">
      <c r="A51" s="14" t="s">
        <v>41</v>
      </c>
      <c r="B51" s="15">
        <v>1.67</v>
      </c>
      <c r="C51" s="210" t="s">
        <v>105</v>
      </c>
      <c r="D51" s="210" t="s">
        <v>105</v>
      </c>
      <c r="E51" s="193">
        <v>5</v>
      </c>
      <c r="F51" s="222" t="s">
        <v>105</v>
      </c>
      <c r="G51" s="222" t="s">
        <v>105</v>
      </c>
      <c r="H51" s="193">
        <v>5</v>
      </c>
      <c r="I51" s="223" t="s">
        <v>105</v>
      </c>
      <c r="J51" s="223" t="s">
        <v>105</v>
      </c>
      <c r="K51" s="169">
        <v>5</v>
      </c>
      <c r="L51" s="221" t="s">
        <v>169</v>
      </c>
      <c r="M51" s="217">
        <v>5</v>
      </c>
      <c r="N51" s="262">
        <v>3</v>
      </c>
      <c r="O51" s="218" t="s">
        <v>145</v>
      </c>
      <c r="P51" s="220">
        <v>3</v>
      </c>
      <c r="Q51" s="219" t="s">
        <v>193</v>
      </c>
      <c r="R51" s="34">
        <f>IF(K51&gt;=4,3,IF(K51=3,2,IF(K51&gt;=1,1,"-")))</f>
        <v>3</v>
      </c>
      <c r="S51" s="34">
        <f t="shared" si="4"/>
        <v>1</v>
      </c>
      <c r="T51" s="172">
        <v>1</v>
      </c>
      <c r="U51" s="34">
        <f t="shared" si="5"/>
        <v>5</v>
      </c>
      <c r="V51" s="118">
        <f t="shared" si="6"/>
        <v>0.42</v>
      </c>
    </row>
    <row r="52" spans="1:22" ht="42" customHeight="1">
      <c r="A52" s="14" t="s">
        <v>42</v>
      </c>
      <c r="B52" s="15">
        <v>1.67</v>
      </c>
      <c r="C52" s="210" t="s">
        <v>105</v>
      </c>
      <c r="D52" s="210" t="s">
        <v>105</v>
      </c>
      <c r="E52" s="193">
        <v>3</v>
      </c>
      <c r="F52" s="222" t="s">
        <v>105</v>
      </c>
      <c r="G52" s="222" t="s">
        <v>105</v>
      </c>
      <c r="H52" s="193">
        <v>4</v>
      </c>
      <c r="I52" s="223" t="s">
        <v>105</v>
      </c>
      <c r="J52" s="223" t="s">
        <v>105</v>
      </c>
      <c r="K52" s="169">
        <v>4</v>
      </c>
      <c r="L52" s="221" t="s">
        <v>169</v>
      </c>
      <c r="M52" s="217">
        <v>3</v>
      </c>
      <c r="N52" s="262">
        <v>3</v>
      </c>
      <c r="O52" s="218" t="s">
        <v>145</v>
      </c>
      <c r="P52" s="218" t="s">
        <v>194</v>
      </c>
      <c r="Q52" s="219" t="s">
        <v>193</v>
      </c>
      <c r="R52" s="34">
        <f>IF(K52&gt;=4,3,IF(K52=3,2,IF(K52&gt;=1,1,"-")))</f>
        <v>3</v>
      </c>
      <c r="S52" s="34">
        <f t="shared" si="4"/>
        <v>1</v>
      </c>
      <c r="T52" s="172">
        <v>1</v>
      </c>
      <c r="U52" s="34">
        <f t="shared" si="5"/>
        <v>5</v>
      </c>
      <c r="V52" s="118">
        <f t="shared" si="6"/>
        <v>0.42</v>
      </c>
    </row>
    <row r="53" spans="1:22" ht="42" customHeight="1">
      <c r="A53" s="14" t="s">
        <v>38</v>
      </c>
      <c r="B53" s="15">
        <v>1.67</v>
      </c>
      <c r="C53" s="210" t="s">
        <v>105</v>
      </c>
      <c r="D53" s="210" t="s">
        <v>105</v>
      </c>
      <c r="E53" s="193">
        <v>3</v>
      </c>
      <c r="F53" s="222" t="s">
        <v>105</v>
      </c>
      <c r="G53" s="222" t="s">
        <v>105</v>
      </c>
      <c r="H53" s="193">
        <v>4</v>
      </c>
      <c r="I53" s="223" t="s">
        <v>105</v>
      </c>
      <c r="J53" s="223" t="s">
        <v>105</v>
      </c>
      <c r="K53" s="169">
        <v>4</v>
      </c>
      <c r="L53" s="221" t="s">
        <v>169</v>
      </c>
      <c r="M53" s="217">
        <v>4</v>
      </c>
      <c r="N53" s="262">
        <v>3</v>
      </c>
      <c r="O53" s="220">
        <v>1</v>
      </c>
      <c r="P53" s="220">
        <v>2</v>
      </c>
      <c r="Q53" s="219" t="s">
        <v>189</v>
      </c>
      <c r="R53" s="34">
        <f>IF(K53&gt;=3,3,IF(K53=2,2,IF(K53=1,1,"-")))</f>
        <v>3</v>
      </c>
      <c r="S53" s="34">
        <f t="shared" si="4"/>
        <v>1</v>
      </c>
      <c r="T53" s="172">
        <v>1</v>
      </c>
      <c r="U53" s="34">
        <f t="shared" si="5"/>
        <v>5</v>
      </c>
      <c r="V53" s="118">
        <f t="shared" si="6"/>
        <v>0.42</v>
      </c>
    </row>
    <row r="54" spans="1:22" ht="42">
      <c r="A54" s="14" t="s">
        <v>43</v>
      </c>
      <c r="B54" s="15">
        <v>1.66</v>
      </c>
      <c r="C54" s="257">
        <f>'[1]SAR-10'!$C$102</f>
        <v>598054807.68</v>
      </c>
      <c r="D54" s="192">
        <f>SUM('[1]SAR-10'!$C$122:$C$123)</f>
        <v>2099.2400000000002</v>
      </c>
      <c r="E54" s="216">
        <f>C54/D54</f>
        <v>284891.1071054286</v>
      </c>
      <c r="F54" s="257">
        <f>'[1]SAR-10'!$D$102</f>
        <v>586792628.9</v>
      </c>
      <c r="G54" s="192">
        <f>SUM('[1]SAR-10'!$D$122:$D$123)</f>
        <v>2387.7</v>
      </c>
      <c r="H54" s="216">
        <f>F54/G54</f>
        <v>245756.43041420614</v>
      </c>
      <c r="I54" s="257">
        <f>'[1]SAR-10'!$E$102</f>
        <v>513947687.19</v>
      </c>
      <c r="J54" s="192">
        <f>'[1]SAR-10'!$E$122+'[1]SAR-10'!$E$123</f>
        <v>2208.41</v>
      </c>
      <c r="K54" s="216">
        <f>I54/J54</f>
        <v>232722.94872328962</v>
      </c>
      <c r="L54" s="215" t="s">
        <v>169</v>
      </c>
      <c r="M54" s="158">
        <v>200000</v>
      </c>
      <c r="N54" s="262">
        <v>4</v>
      </c>
      <c r="O54" s="218" t="s">
        <v>195</v>
      </c>
      <c r="P54" s="213" t="s">
        <v>196</v>
      </c>
      <c r="Q54" s="214" t="s">
        <v>197</v>
      </c>
      <c r="R54" s="34">
        <f>IF(K54&gt;=100000,3,IF(K54&gt;=65000,2,IF(K54&gt;=1,1,"-")))</f>
        <v>3</v>
      </c>
      <c r="S54" s="34">
        <f t="shared" si="4"/>
        <v>1</v>
      </c>
      <c r="T54" s="172">
        <v>1</v>
      </c>
      <c r="U54" s="34">
        <f t="shared" si="5"/>
        <v>5</v>
      </c>
      <c r="V54" s="118">
        <f t="shared" si="6"/>
        <v>0.42</v>
      </c>
    </row>
    <row r="55" spans="1:22" ht="72">
      <c r="A55" s="14" t="s">
        <v>39</v>
      </c>
      <c r="B55" s="16">
        <v>1.66</v>
      </c>
      <c r="C55" s="254">
        <f>'[1]SAR-10'!$C$104</f>
        <v>176120510</v>
      </c>
      <c r="D55" s="192">
        <f>SUM('[1]SAR-10'!$C$122:$C$123)</f>
        <v>2099.2400000000002</v>
      </c>
      <c r="E55" s="210">
        <f>C55/D55</f>
        <v>83897.27234618242</v>
      </c>
      <c r="F55" s="257">
        <f>'[1]SAR-10'!$D$104</f>
        <v>214113559.3</v>
      </c>
      <c r="G55" s="192">
        <f>SUM('[1]SAR-10'!$D$122:$D$123)</f>
        <v>2387.7</v>
      </c>
      <c r="H55" s="210">
        <f>F55/G55</f>
        <v>89673.56003685556</v>
      </c>
      <c r="I55" s="290">
        <f>'[1]SAR-10'!$E$104</f>
        <v>181018362.18</v>
      </c>
      <c r="J55" s="156">
        <f>'[1]SAR-10'!$E$122+'[1]SAR-10'!$E$123</f>
        <v>2208.41</v>
      </c>
      <c r="K55" s="179">
        <f>I55/J55</f>
        <v>81967.7334281225</v>
      </c>
      <c r="L55" s="224" t="s">
        <v>239</v>
      </c>
      <c r="M55" s="158">
        <v>108000</v>
      </c>
      <c r="N55" s="262">
        <v>2</v>
      </c>
      <c r="O55" s="214" t="s">
        <v>198</v>
      </c>
      <c r="P55" s="213" t="s">
        <v>199</v>
      </c>
      <c r="Q55" s="213" t="s">
        <v>200</v>
      </c>
      <c r="R55" s="18">
        <f>IF(K55=0,"-",IF(K55&gt;=77343.2,1,IF(K55&gt;=73827.6,2,IF(K55&gt;=66803.43,3,IF(K55&gt;=63287.83,2,1)))))</f>
        <v>1</v>
      </c>
      <c r="S55" s="34">
        <f>IF(K55=0,"-",IF(K55&lt;=M55,1,0))</f>
        <v>1</v>
      </c>
      <c r="T55" s="172">
        <v>0</v>
      </c>
      <c r="U55" s="34">
        <f t="shared" si="5"/>
        <v>2</v>
      </c>
      <c r="V55" s="118">
        <f t="shared" si="6"/>
        <v>0.17</v>
      </c>
    </row>
    <row r="56" spans="1:22" ht="54">
      <c r="A56" s="14" t="s">
        <v>40</v>
      </c>
      <c r="B56" s="15">
        <v>1.66</v>
      </c>
      <c r="C56" s="258">
        <f>'[1]SAR-10'!$C$107</f>
        <v>11103520.27000001</v>
      </c>
      <c r="D56" s="254">
        <f>'[1]SAR-10'!$C$108</f>
        <v>187224030.27</v>
      </c>
      <c r="E56" s="216">
        <f>C56/D56*100</f>
        <v>5.930606372476531</v>
      </c>
      <c r="F56" s="258">
        <f>'[1]SAR-10'!$D$107</f>
        <v>19148903.53</v>
      </c>
      <c r="G56" s="254">
        <f>'[1]SAR-10'!$D$108</f>
        <v>233262462.83</v>
      </c>
      <c r="H56" s="216">
        <f>F56/G56*100</f>
        <v>8.209166317495148</v>
      </c>
      <c r="I56" s="291">
        <f>'[1]SAR-10'!$E$107</f>
        <v>28302247.329999983</v>
      </c>
      <c r="J56" s="255">
        <f>'[1]SAR-10'!$E$108</f>
        <v>209320609.51</v>
      </c>
      <c r="K56" s="225">
        <f>I56/J56*100</f>
        <v>13.52100368723983</v>
      </c>
      <c r="L56" s="215" t="s">
        <v>169</v>
      </c>
      <c r="M56" s="194">
        <v>6</v>
      </c>
      <c r="N56" s="262">
        <v>3</v>
      </c>
      <c r="O56" s="213" t="s">
        <v>201</v>
      </c>
      <c r="P56" s="213" t="s">
        <v>202</v>
      </c>
      <c r="Q56" s="213" t="s">
        <v>203</v>
      </c>
      <c r="R56" s="18">
        <f>IF(I56=0,"-",IF(I56&gt;(15%*J56),2,IF(I56&gt;=(10%*J56),3,IF(I56&gt;=(5%*J56),2,IF(I56&gt;=(1%*J56),1,"0")))))</f>
        <v>3</v>
      </c>
      <c r="S56" s="18">
        <f t="shared" si="4"/>
        <v>1</v>
      </c>
      <c r="T56" s="159">
        <v>1</v>
      </c>
      <c r="U56" s="18">
        <f t="shared" si="5"/>
        <v>5</v>
      </c>
      <c r="V56" s="117">
        <f t="shared" si="6"/>
        <v>0.42</v>
      </c>
    </row>
    <row r="57" spans="1:22" ht="63">
      <c r="A57" s="14" t="s">
        <v>44</v>
      </c>
      <c r="B57" s="15">
        <v>1.66</v>
      </c>
      <c r="C57" s="156">
        <f>'[1]SAR-10'!$C$112</f>
        <v>52</v>
      </c>
      <c r="D57" s="156">
        <f>'[1]SAR-10'!$C$121</f>
        <v>150</v>
      </c>
      <c r="E57" s="225">
        <f>C57/D57*100</f>
        <v>34.66666666666667</v>
      </c>
      <c r="F57" s="156">
        <f>'[1]SAR-10'!$D$112</f>
        <v>91</v>
      </c>
      <c r="G57" s="156">
        <f>'[1]SAR-10'!$D$121</f>
        <v>150</v>
      </c>
      <c r="H57" s="225">
        <f>F57/G57*100</f>
        <v>60.66666666666667</v>
      </c>
      <c r="I57" s="156">
        <f>'[1]SAR-10'!$E$112</f>
        <v>95</v>
      </c>
      <c r="J57" s="156">
        <f>'[1]SAR-10'!$E$121</f>
        <v>152</v>
      </c>
      <c r="K57" s="225">
        <f>I57/J57*100</f>
        <v>62.5</v>
      </c>
      <c r="L57" s="102" t="s">
        <v>169</v>
      </c>
      <c r="M57" s="158">
        <v>60</v>
      </c>
      <c r="N57" s="262">
        <v>3</v>
      </c>
      <c r="O57" s="69" t="s">
        <v>107</v>
      </c>
      <c r="P57" s="17" t="s">
        <v>108</v>
      </c>
      <c r="Q57" s="68" t="s">
        <v>109</v>
      </c>
      <c r="R57" s="18">
        <f>IF(K57&gt;=60,3,IF(K57&gt;=40,2,IF(K57&gt;=1,1,"-")))</f>
        <v>3</v>
      </c>
      <c r="S57" s="18">
        <f t="shared" si="4"/>
        <v>1</v>
      </c>
      <c r="T57" s="159">
        <v>1</v>
      </c>
      <c r="U57" s="18">
        <f t="shared" si="5"/>
        <v>5</v>
      </c>
      <c r="V57" s="117">
        <f t="shared" si="6"/>
        <v>0.42</v>
      </c>
    </row>
    <row r="58" spans="1:22" ht="63">
      <c r="A58" s="14" t="s">
        <v>45</v>
      </c>
      <c r="B58" s="15">
        <v>1.67</v>
      </c>
      <c r="C58" s="156">
        <f>'[1]SAR-10'!$C$110</f>
        <v>4403889.77</v>
      </c>
      <c r="D58" s="156">
        <f>'[1]SAR-10'!$C$12</f>
        <v>168</v>
      </c>
      <c r="E58" s="15">
        <f>C58/D58</f>
        <v>26213.62958333333</v>
      </c>
      <c r="F58" s="156">
        <f>'[1]SAR-10'!$D$110</f>
        <v>4381161.99</v>
      </c>
      <c r="G58" s="156">
        <f>'[1]SAR-10'!$D$12</f>
        <v>166</v>
      </c>
      <c r="H58" s="15">
        <f>F58/G58</f>
        <v>26392.542108433736</v>
      </c>
      <c r="I58" s="318">
        <f>'[1]SAR-10'!$E$110</f>
        <v>4660275.52</v>
      </c>
      <c r="J58" s="156">
        <f>'[1]SAR-10'!$E$12</f>
        <v>169</v>
      </c>
      <c r="K58" s="15">
        <f>I58/J58</f>
        <v>27575.594792899406</v>
      </c>
      <c r="L58" s="102" t="s">
        <v>169</v>
      </c>
      <c r="M58" s="158">
        <v>20000</v>
      </c>
      <c r="N58" s="262">
        <v>4</v>
      </c>
      <c r="O58" s="17" t="s">
        <v>146</v>
      </c>
      <c r="P58" s="70" t="s">
        <v>147</v>
      </c>
      <c r="Q58" s="83" t="s">
        <v>148</v>
      </c>
      <c r="R58" s="18">
        <f>IF(K58&gt;=15000,3,IF(K58&gt;=10000,2,IF(K58&gt;=1,1,"-")))</f>
        <v>3</v>
      </c>
      <c r="S58" s="18">
        <f t="shared" si="4"/>
        <v>1</v>
      </c>
      <c r="T58" s="159">
        <v>1</v>
      </c>
      <c r="U58" s="18">
        <f t="shared" si="5"/>
        <v>5</v>
      </c>
      <c r="V58" s="117">
        <f t="shared" si="6"/>
        <v>0.42</v>
      </c>
    </row>
    <row r="59" spans="1:22" ht="65.25" customHeight="1">
      <c r="A59" s="14" t="s">
        <v>46</v>
      </c>
      <c r="B59" s="15">
        <v>1.67</v>
      </c>
      <c r="C59" s="156">
        <f>'[1]SAR-10'!$C$111</f>
        <v>150.5</v>
      </c>
      <c r="D59" s="156">
        <f>'[1]SAR-10'!$C$114</f>
        <v>150.5</v>
      </c>
      <c r="E59" s="15">
        <f>C59/D59*100</f>
        <v>100</v>
      </c>
      <c r="F59" s="156">
        <f>'[1]SAR-10'!$D$111</f>
        <v>171.5</v>
      </c>
      <c r="G59" s="156">
        <f>'[1]SAR-10'!$D$114</f>
        <v>171.5</v>
      </c>
      <c r="H59" s="15">
        <f>F59/G59*100</f>
        <v>100</v>
      </c>
      <c r="I59" s="156">
        <f>'[1]SAR-10'!$E$111</f>
        <v>195</v>
      </c>
      <c r="J59" s="156">
        <f>'[1]SAR-10'!$E$114</f>
        <v>195</v>
      </c>
      <c r="K59" s="15">
        <f>I59/J59*100</f>
        <v>100</v>
      </c>
      <c r="L59" s="102" t="s">
        <v>169</v>
      </c>
      <c r="M59" s="158">
        <v>100</v>
      </c>
      <c r="N59" s="262" t="s">
        <v>232</v>
      </c>
      <c r="O59" s="69" t="s">
        <v>149</v>
      </c>
      <c r="P59" s="17" t="s">
        <v>150</v>
      </c>
      <c r="Q59" s="68" t="s">
        <v>104</v>
      </c>
      <c r="R59" s="18">
        <f>IF(K59&gt;=80,3,IF(K59&gt;=55,2,IF(K59&gt;=1,1,"-")))</f>
        <v>3</v>
      </c>
      <c r="S59" s="18">
        <f t="shared" si="4"/>
        <v>1</v>
      </c>
      <c r="T59" s="159">
        <v>1</v>
      </c>
      <c r="U59" s="18">
        <f t="shared" si="5"/>
        <v>5</v>
      </c>
      <c r="V59" s="117">
        <f t="shared" si="6"/>
        <v>0.42</v>
      </c>
    </row>
    <row r="60" spans="1:22" s="72" customFormat="1" ht="21" customHeight="1">
      <c r="A60" s="20" t="s">
        <v>47</v>
      </c>
      <c r="B60" s="15">
        <v>1.67</v>
      </c>
      <c r="C60" s="16"/>
      <c r="D60" s="16"/>
      <c r="E60" s="18">
        <v>3</v>
      </c>
      <c r="F60" s="16"/>
      <c r="G60" s="16"/>
      <c r="H60" s="18">
        <v>3</v>
      </c>
      <c r="I60" s="16"/>
      <c r="J60" s="16"/>
      <c r="K60" s="18">
        <v>3</v>
      </c>
      <c r="L60" s="93" t="s">
        <v>240</v>
      </c>
      <c r="M60" s="226">
        <v>3</v>
      </c>
      <c r="N60" s="262">
        <v>4</v>
      </c>
      <c r="O60" s="67">
        <v>1</v>
      </c>
      <c r="P60" s="67">
        <v>2</v>
      </c>
      <c r="Q60" s="67">
        <v>3</v>
      </c>
      <c r="R60" s="18">
        <f>IF(K60=3,3,IF(K60=2,2,IF(K60=1,1,"-")))</f>
        <v>3</v>
      </c>
      <c r="S60" s="18">
        <f>IF(K60=0,"-",IF(K60=M60,1,0))</f>
        <v>1</v>
      </c>
      <c r="T60" s="159">
        <v>1</v>
      </c>
      <c r="U60" s="18">
        <f t="shared" si="5"/>
        <v>5</v>
      </c>
      <c r="V60" s="117">
        <f t="shared" si="6"/>
        <v>0.42</v>
      </c>
    </row>
    <row r="61" spans="1:22" ht="42" customHeight="1">
      <c r="A61" s="61" t="s">
        <v>170</v>
      </c>
      <c r="B61" s="42" t="s">
        <v>105</v>
      </c>
      <c r="C61" s="43"/>
      <c r="D61" s="43"/>
      <c r="E61" s="164">
        <f>'[1]SAR-10'!$C$127</f>
        <v>3</v>
      </c>
      <c r="F61" s="43"/>
      <c r="G61" s="43"/>
      <c r="H61" s="164" t="s">
        <v>105</v>
      </c>
      <c r="I61" s="43"/>
      <c r="J61" s="43"/>
      <c r="K61" s="164">
        <f>'[1]SAR-10'!$E$127</f>
        <v>7</v>
      </c>
      <c r="L61" s="108"/>
      <c r="M61" s="140"/>
      <c r="N61" s="148"/>
      <c r="O61" s="77" t="s">
        <v>105</v>
      </c>
      <c r="P61" s="77" t="s">
        <v>105</v>
      </c>
      <c r="Q61" s="77" t="s">
        <v>105</v>
      </c>
      <c r="R61" s="78"/>
      <c r="S61" s="78"/>
      <c r="T61" s="78"/>
      <c r="U61" s="78"/>
      <c r="V61" s="123"/>
    </row>
    <row r="62" spans="1:24" ht="21">
      <c r="A62" s="47" t="s">
        <v>48</v>
      </c>
      <c r="B62" s="48"/>
      <c r="C62" s="49"/>
      <c r="D62" s="49"/>
      <c r="E62" s="48"/>
      <c r="F62" s="49"/>
      <c r="G62" s="49"/>
      <c r="H62" s="48"/>
      <c r="I62" s="49"/>
      <c r="J62" s="49"/>
      <c r="K62" s="48"/>
      <c r="L62" s="100"/>
      <c r="M62" s="133"/>
      <c r="N62" s="145"/>
      <c r="O62" s="51"/>
      <c r="P62" s="51"/>
      <c r="Q62" s="51"/>
      <c r="R62" s="120">
        <f>ROUND((((R49*$B$49)+(R50*$B$50)+(R51*$B$51)+(R52*$B$52)+(R53*$B$53)+(R54*$B$54)+(R55*$B$55)+(R56*$B$56)+(R57*$B$57)+(R58*$B$58)+(R59*$B$59)+(R60*$B$60))/$B$48),2)</f>
        <v>2.83</v>
      </c>
      <c r="S62" s="120">
        <f>ROUND((((S49*$B$49)+(S50*$B$50)+(S51*$B$51)+(S52*$B$52)+(S53*$B$53)+(S54*$B$54)+(S55*$B$55)+(S56*$B$56)+(S57*$B$57)+(S58*$B$58)+(S59*$B$59)+(S60*$B$60))/$B$48),2)</f>
        <v>1</v>
      </c>
      <c r="T62" s="120">
        <f>ROUND((((T49*$B$49)+(T50*$B$50)+(T51*$B$51)+(T52*$B$52)+(T53*$B$53)+(T54*$B$54)+(T55*$B$55)+(T56*$B$56)+(T57*$B$57)+(T58*$B$58)+(T59*$B$59)+(T60*$B$60))/$B$48),2)</f>
        <v>0.92</v>
      </c>
      <c r="U62" s="120">
        <f>ROUND(((SUM(U49:U60))/12),2)</f>
        <v>4.75</v>
      </c>
      <c r="V62" s="120">
        <f>ROUND((SUM(V49:V60)),2)</f>
        <v>4.79</v>
      </c>
      <c r="X62" s="310"/>
    </row>
    <row r="63" spans="1:22" ht="26.25" customHeight="1">
      <c r="A63" s="25" t="s">
        <v>11</v>
      </c>
      <c r="B63" s="26">
        <f>SUM(B64:B65,B66:B69,B70:B71,B72:B73,B74,B75)</f>
        <v>20</v>
      </c>
      <c r="C63" s="28"/>
      <c r="D63" s="28"/>
      <c r="E63" s="48"/>
      <c r="F63" s="28"/>
      <c r="G63" s="28"/>
      <c r="H63" s="48"/>
      <c r="I63" s="28"/>
      <c r="J63" s="28"/>
      <c r="K63" s="48"/>
      <c r="L63" s="100"/>
      <c r="M63" s="134"/>
      <c r="N63" s="146"/>
      <c r="O63" s="53"/>
      <c r="P63" s="53"/>
      <c r="Q63" s="53"/>
      <c r="R63" s="54"/>
      <c r="S63" s="54"/>
      <c r="T63" s="54"/>
      <c r="U63" s="54"/>
      <c r="V63" s="120"/>
    </row>
    <row r="64" spans="1:22" ht="42" customHeight="1">
      <c r="A64" s="30" t="s">
        <v>49</v>
      </c>
      <c r="B64" s="35">
        <v>1.67</v>
      </c>
      <c r="C64" s="173">
        <f>'[1]SAR-10'!$C$11</f>
        <v>23</v>
      </c>
      <c r="D64" s="173">
        <f>'[1]SAR-10'!$C$7</f>
        <v>23</v>
      </c>
      <c r="E64" s="35">
        <f>C64/D64*100</f>
        <v>100</v>
      </c>
      <c r="F64" s="173">
        <f>'[1]SAR-10'!$D$11</f>
        <v>25</v>
      </c>
      <c r="G64" s="173">
        <f>'[1]SAR-10'!$D$7</f>
        <v>25</v>
      </c>
      <c r="H64" s="35">
        <f>F64/G64*100</f>
        <v>100</v>
      </c>
      <c r="I64" s="173">
        <f>'[1]SAR-10'!$E$11</f>
        <v>28</v>
      </c>
      <c r="J64" s="173">
        <f>'[1]SAR-10'!$E$7</f>
        <v>28</v>
      </c>
      <c r="K64" s="35">
        <f>I64/J64*100</f>
        <v>100</v>
      </c>
      <c r="L64" s="109" t="s">
        <v>169</v>
      </c>
      <c r="M64" s="264">
        <v>100</v>
      </c>
      <c r="N64" s="265" t="s">
        <v>232</v>
      </c>
      <c r="O64" s="266" t="s">
        <v>151</v>
      </c>
      <c r="P64" s="267" t="s">
        <v>152</v>
      </c>
      <c r="Q64" s="267">
        <v>100</v>
      </c>
      <c r="R64" s="55">
        <f>IF(K64=100,3,IF(K64&gt;=80,2,IF(K64&gt;=1,1,"-")))</f>
        <v>3</v>
      </c>
      <c r="S64" s="55">
        <f>IF(K64=0,"-",IF(K64&gt;=M64,1,0))</f>
        <v>1</v>
      </c>
      <c r="T64" s="268">
        <v>1</v>
      </c>
      <c r="U64" s="55">
        <f>SUM(R64:T64)</f>
        <v>5</v>
      </c>
      <c r="V64" s="127">
        <f aca="true" t="shared" si="7" ref="V64:V75">ROUND((U64*B64/B$63),2)</f>
        <v>0.42</v>
      </c>
    </row>
    <row r="65" spans="1:22" s="72" customFormat="1" ht="86.25">
      <c r="A65" s="14" t="s">
        <v>50</v>
      </c>
      <c r="B65" s="15">
        <v>1.66</v>
      </c>
      <c r="C65" s="156">
        <f>SUM('[1]SAR-10'!$C$119:$C$120)</f>
        <v>2272.1099999999997</v>
      </c>
      <c r="D65" s="156">
        <f>'[1]SAR-10'!$C$121</f>
        <v>150</v>
      </c>
      <c r="E65" s="15">
        <f>C65/D65</f>
        <v>15.147399999999998</v>
      </c>
      <c r="F65" s="156">
        <f>SUM('[1]SAR-10'!$D$119:$D$120)</f>
        <v>2404.93</v>
      </c>
      <c r="G65" s="156">
        <f>'[1]SAR-10'!$D$121</f>
        <v>150</v>
      </c>
      <c r="H65" s="15">
        <f>F65/G65</f>
        <v>16.032866666666667</v>
      </c>
      <c r="I65" s="156">
        <f>SUM('[1]SAR-10'!$E$119:$E$120)</f>
        <v>2259.53</v>
      </c>
      <c r="J65" s="156">
        <f>'[1]SAR-10'!$E$121</f>
        <v>152</v>
      </c>
      <c r="K65" s="15">
        <f>I65/J65</f>
        <v>14.865328947368422</v>
      </c>
      <c r="L65" s="102" t="s">
        <v>169</v>
      </c>
      <c r="M65" s="292">
        <v>15</v>
      </c>
      <c r="N65" s="293">
        <v>9</v>
      </c>
      <c r="O65" s="113" t="s">
        <v>162</v>
      </c>
      <c r="P65" s="114" t="s">
        <v>171</v>
      </c>
      <c r="Q65" s="114" t="s">
        <v>163</v>
      </c>
      <c r="R65" s="34">
        <f>IF(K65=0,"-",IF(K65&gt;=22,1,IF(K65&gt;=21.2,2,IF(K65&gt;=18.81,3,IF(K65&gt;=18.01,2,1)))))</f>
        <v>1</v>
      </c>
      <c r="S65" s="34">
        <f>IF(K65=0,"-",IF(K65&gt;=M65,1,0))</f>
        <v>0</v>
      </c>
      <c r="T65" s="172">
        <v>0</v>
      </c>
      <c r="U65" s="34">
        <f>SUM(R65:T65)</f>
        <v>1</v>
      </c>
      <c r="V65" s="118">
        <f t="shared" si="7"/>
        <v>0.08</v>
      </c>
    </row>
    <row r="66" spans="1:22" ht="42" customHeight="1">
      <c r="A66" s="14" t="s">
        <v>51</v>
      </c>
      <c r="B66" s="15">
        <v>1.66</v>
      </c>
      <c r="C66" s="156">
        <f>'[1]SAR-10'!$C$17</f>
        <v>76</v>
      </c>
      <c r="D66" s="156">
        <f>'[1]SAR-10'!$C$12</f>
        <v>168</v>
      </c>
      <c r="E66" s="15">
        <f>C66/D66*100</f>
        <v>45.23809523809524</v>
      </c>
      <c r="F66" s="156">
        <f>'[1]SAR-10'!$D$17</f>
        <v>82.5</v>
      </c>
      <c r="G66" s="156">
        <f>'[1]SAR-10'!$D$12</f>
        <v>166</v>
      </c>
      <c r="H66" s="15">
        <f>F66/G66*100</f>
        <v>49.6987951807229</v>
      </c>
      <c r="I66" s="156">
        <f>'[1]SAR-10'!$E$17</f>
        <v>80</v>
      </c>
      <c r="J66" s="156">
        <f>'[1]SAR-10'!$E$12</f>
        <v>169</v>
      </c>
      <c r="K66" s="15">
        <f>I66/J66*100</f>
        <v>47.337278106508876</v>
      </c>
      <c r="L66" s="102" t="s">
        <v>169</v>
      </c>
      <c r="M66" s="158">
        <v>47</v>
      </c>
      <c r="N66" s="262">
        <v>3</v>
      </c>
      <c r="O66" s="69" t="s">
        <v>107</v>
      </c>
      <c r="P66" s="17" t="s">
        <v>108</v>
      </c>
      <c r="Q66" s="68" t="s">
        <v>109</v>
      </c>
      <c r="R66" s="18">
        <f>IF(K66&gt;=60,3,IF(K66&gt;=40,2,IF(K66&gt;=1,1,"-")))</f>
        <v>2</v>
      </c>
      <c r="S66" s="18">
        <f aca="true" t="shared" si="8" ref="S66:S75">IF(K66=0,"-",IF(K66&gt;=M66,1,0))</f>
        <v>1</v>
      </c>
      <c r="T66" s="159">
        <v>0</v>
      </c>
      <c r="U66" s="18">
        <f aca="true" t="shared" si="9" ref="U66:U71">SUM(R66:T66)</f>
        <v>3</v>
      </c>
      <c r="V66" s="117">
        <f t="shared" si="7"/>
        <v>0.25</v>
      </c>
    </row>
    <row r="67" spans="1:22" ht="42">
      <c r="A67" s="14" t="s">
        <v>100</v>
      </c>
      <c r="B67" s="15">
        <v>1.66</v>
      </c>
      <c r="C67" s="156">
        <f>SUM('[1]SAR-10'!$C$21:$C$23)</f>
        <v>78</v>
      </c>
      <c r="D67" s="156">
        <f>'[1]SAR-10'!$C$12</f>
        <v>168</v>
      </c>
      <c r="E67" s="15">
        <f>C67/D67*100</f>
        <v>46.42857142857143</v>
      </c>
      <c r="F67" s="156">
        <f>SUM('[1]SAR-10'!$D$21:$D$23)</f>
        <v>83</v>
      </c>
      <c r="G67" s="156">
        <f>'[1]SAR-10'!$D$12</f>
        <v>166</v>
      </c>
      <c r="H67" s="15">
        <f>F67/G67*100</f>
        <v>50</v>
      </c>
      <c r="I67" s="156">
        <f>SUM('[1]SAR-10'!$E$21:$E$23)</f>
        <v>91</v>
      </c>
      <c r="J67" s="156">
        <f>'[1]SAR-10'!$E$12</f>
        <v>169</v>
      </c>
      <c r="K67" s="15">
        <f>I67/J67*100</f>
        <v>53.84615384615385</v>
      </c>
      <c r="L67" s="102" t="s">
        <v>169</v>
      </c>
      <c r="M67" s="158">
        <v>48</v>
      </c>
      <c r="N67" s="262">
        <v>3</v>
      </c>
      <c r="O67" s="69" t="s">
        <v>154</v>
      </c>
      <c r="P67" s="17" t="s">
        <v>153</v>
      </c>
      <c r="Q67" s="68" t="s">
        <v>155</v>
      </c>
      <c r="R67" s="18">
        <f>IF(K67&gt;=70,3,IF(K67&gt;=45,2,IF(K67&gt;=1,1,"-")))</f>
        <v>2</v>
      </c>
      <c r="S67" s="18">
        <f t="shared" si="8"/>
        <v>1</v>
      </c>
      <c r="T67" s="159">
        <v>0</v>
      </c>
      <c r="U67" s="18">
        <f t="shared" si="9"/>
        <v>3</v>
      </c>
      <c r="V67" s="117">
        <f t="shared" si="7"/>
        <v>0.25</v>
      </c>
    </row>
    <row r="68" spans="1:22" s="72" customFormat="1" ht="42" customHeight="1">
      <c r="A68" s="14" t="s">
        <v>52</v>
      </c>
      <c r="B68" s="15">
        <v>1.66</v>
      </c>
      <c r="C68" s="16" t="s">
        <v>105</v>
      </c>
      <c r="D68" s="16" t="s">
        <v>105</v>
      </c>
      <c r="E68" s="116" t="s">
        <v>105</v>
      </c>
      <c r="F68" s="116" t="s">
        <v>105</v>
      </c>
      <c r="G68" s="116" t="s">
        <v>105</v>
      </c>
      <c r="H68" s="116">
        <v>4</v>
      </c>
      <c r="I68" s="19" t="s">
        <v>105</v>
      </c>
      <c r="J68" s="19" t="s">
        <v>105</v>
      </c>
      <c r="K68" s="116">
        <v>4</v>
      </c>
      <c r="L68" s="110" t="s">
        <v>169</v>
      </c>
      <c r="M68" s="226">
        <v>4</v>
      </c>
      <c r="N68" s="262" t="s">
        <v>232</v>
      </c>
      <c r="O68" s="69" t="s">
        <v>145</v>
      </c>
      <c r="P68" s="67">
        <v>3</v>
      </c>
      <c r="Q68" s="68" t="s">
        <v>193</v>
      </c>
      <c r="R68" s="18">
        <f>IF(K68&gt;=4,3,IF(K68=3,2,IF(K68&gt;=1,1,"-")))</f>
        <v>3</v>
      </c>
      <c r="S68" s="18">
        <f>IF(K68=0,"-",IF(K68&gt;=M68,1,0))</f>
        <v>1</v>
      </c>
      <c r="T68" s="159">
        <v>0</v>
      </c>
      <c r="U68" s="18">
        <v>5</v>
      </c>
      <c r="V68" s="117">
        <f t="shared" si="7"/>
        <v>0.42</v>
      </c>
    </row>
    <row r="69" spans="1:22" ht="63">
      <c r="A69" s="14" t="s">
        <v>53</v>
      </c>
      <c r="B69" s="15">
        <v>1.67</v>
      </c>
      <c r="C69" s="16" t="s">
        <v>105</v>
      </c>
      <c r="D69" s="16" t="s">
        <v>105</v>
      </c>
      <c r="E69" s="169">
        <v>7</v>
      </c>
      <c r="F69" s="19" t="s">
        <v>105</v>
      </c>
      <c r="G69" s="19" t="s">
        <v>105</v>
      </c>
      <c r="H69" s="169">
        <v>7</v>
      </c>
      <c r="I69" s="19" t="s">
        <v>105</v>
      </c>
      <c r="J69" s="19" t="s">
        <v>105</v>
      </c>
      <c r="K69" s="169">
        <v>7</v>
      </c>
      <c r="L69" s="110" t="s">
        <v>169</v>
      </c>
      <c r="M69" s="165">
        <v>7</v>
      </c>
      <c r="N69" s="262">
        <v>3</v>
      </c>
      <c r="O69" s="69" t="s">
        <v>145</v>
      </c>
      <c r="P69" s="69" t="s">
        <v>156</v>
      </c>
      <c r="Q69" s="68" t="s">
        <v>144</v>
      </c>
      <c r="R69" s="18">
        <f>IF(K69&gt;=5,3,IF(K69&gt;=3,2,IF(K69&gt;=1,1,"-")))</f>
        <v>3</v>
      </c>
      <c r="S69" s="18">
        <f t="shared" si="8"/>
        <v>1</v>
      </c>
      <c r="T69" s="159">
        <v>1</v>
      </c>
      <c r="U69" s="18">
        <f t="shared" si="9"/>
        <v>5</v>
      </c>
      <c r="V69" s="117">
        <f t="shared" si="7"/>
        <v>0.42</v>
      </c>
    </row>
    <row r="70" spans="1:22" ht="42" customHeight="1">
      <c r="A70" s="14" t="s">
        <v>54</v>
      </c>
      <c r="B70" s="15">
        <v>1.67</v>
      </c>
      <c r="C70" s="16" t="s">
        <v>105</v>
      </c>
      <c r="D70" s="16" t="s">
        <v>105</v>
      </c>
      <c r="E70" s="174">
        <v>4.1</v>
      </c>
      <c r="F70" s="16" t="s">
        <v>105</v>
      </c>
      <c r="G70" s="16" t="s">
        <v>105</v>
      </c>
      <c r="H70" s="174">
        <v>4.11</v>
      </c>
      <c r="I70" s="16" t="s">
        <v>105</v>
      </c>
      <c r="J70" s="16" t="s">
        <v>105</v>
      </c>
      <c r="K70" s="174">
        <v>4.33</v>
      </c>
      <c r="L70" s="102" t="s">
        <v>169</v>
      </c>
      <c r="M70" s="158">
        <v>4</v>
      </c>
      <c r="N70" s="262">
        <v>2</v>
      </c>
      <c r="O70" s="71" t="s">
        <v>157</v>
      </c>
      <c r="P70" s="70" t="s">
        <v>158</v>
      </c>
      <c r="Q70" s="68" t="s">
        <v>159</v>
      </c>
      <c r="R70" s="18">
        <f>IF(K70&gt;=3.5,3,IF(K70&gt;=2.5,2,IF(K70&gt;=1,1,"-")))</f>
        <v>3</v>
      </c>
      <c r="S70" s="18">
        <f t="shared" si="8"/>
        <v>1</v>
      </c>
      <c r="T70" s="159">
        <v>1</v>
      </c>
      <c r="U70" s="18">
        <f t="shared" si="9"/>
        <v>5</v>
      </c>
      <c r="V70" s="117">
        <f t="shared" si="7"/>
        <v>0.42</v>
      </c>
    </row>
    <row r="71" spans="1:22" ht="63">
      <c r="A71" s="14" t="s">
        <v>55</v>
      </c>
      <c r="B71" s="15">
        <v>1.67</v>
      </c>
      <c r="C71" s="156">
        <f>'[1]SAR-10'!$C$116</f>
        <v>2587</v>
      </c>
      <c r="D71" s="156">
        <f>'[1]SAR-10'!$C$26</f>
        <v>2587</v>
      </c>
      <c r="E71" s="15">
        <f>C71/D71*100</f>
        <v>100</v>
      </c>
      <c r="F71" s="156">
        <f>'[1]SAR-10'!$D$116</f>
        <v>2951</v>
      </c>
      <c r="G71" s="156">
        <f>'[1]SAR-10'!$D$26</f>
        <v>2951</v>
      </c>
      <c r="H71" s="15">
        <f>F71/G71*100</f>
        <v>100</v>
      </c>
      <c r="I71" s="156">
        <f>'[1]SAR-10'!$E$116</f>
        <v>2599</v>
      </c>
      <c r="J71" s="156">
        <f>'[1]SAR-10'!$E$26</f>
        <v>2599</v>
      </c>
      <c r="K71" s="15">
        <f>I71/J71*100</f>
        <v>100</v>
      </c>
      <c r="L71" s="102" t="s">
        <v>169</v>
      </c>
      <c r="M71" s="158">
        <v>100</v>
      </c>
      <c r="N71" s="262" t="s">
        <v>232</v>
      </c>
      <c r="O71" s="69" t="s">
        <v>107</v>
      </c>
      <c r="P71" s="17" t="s">
        <v>108</v>
      </c>
      <c r="Q71" s="68" t="s">
        <v>109</v>
      </c>
      <c r="R71" s="18">
        <f>IF(K71&gt;=60,3,IF(K71&gt;=40,2,IF(K71&gt;=1,1,"-")))</f>
        <v>3</v>
      </c>
      <c r="S71" s="18">
        <f t="shared" si="8"/>
        <v>1</v>
      </c>
      <c r="T71" s="159">
        <v>1</v>
      </c>
      <c r="U71" s="18">
        <f t="shared" si="9"/>
        <v>5</v>
      </c>
      <c r="V71" s="117">
        <f t="shared" si="7"/>
        <v>0.42</v>
      </c>
    </row>
    <row r="72" spans="1:22" ht="63">
      <c r="A72" s="14" t="s">
        <v>56</v>
      </c>
      <c r="B72" s="15">
        <v>1.67</v>
      </c>
      <c r="C72" s="156">
        <f>'[1]SAR-10'!$C$117</f>
        <v>12946783.05</v>
      </c>
      <c r="D72" s="156">
        <f>SUM('[1]SAR-10'!$C$122:$C$123)</f>
        <v>2099.2400000000002</v>
      </c>
      <c r="E72" s="15">
        <f>C72/D72</f>
        <v>6167.366785122234</v>
      </c>
      <c r="F72" s="156">
        <f>'[1]SAR-10'!$D$117</f>
        <v>40410939.92</v>
      </c>
      <c r="G72" s="156">
        <f>SUM('[1]SAR-10'!$D$122:$D$123)</f>
        <v>2387.7</v>
      </c>
      <c r="H72" s="15">
        <f>F72/G72</f>
        <v>16924.63036394857</v>
      </c>
      <c r="I72" s="156">
        <f>'[1]SAR-10'!$E$117</f>
        <v>15795055.74</v>
      </c>
      <c r="J72" s="156">
        <f>'[1]SAR-10'!$E$122+'[1]SAR-10'!$E$123</f>
        <v>2208.41</v>
      </c>
      <c r="K72" s="15">
        <f>I72/J72</f>
        <v>7152.229767117519</v>
      </c>
      <c r="L72" s="102" t="s">
        <v>169</v>
      </c>
      <c r="M72" s="158">
        <v>3000</v>
      </c>
      <c r="N72" s="262">
        <v>5</v>
      </c>
      <c r="O72" s="69" t="s">
        <v>204</v>
      </c>
      <c r="P72" s="71" t="s">
        <v>205</v>
      </c>
      <c r="Q72" s="83" t="s">
        <v>206</v>
      </c>
      <c r="R72" s="18">
        <f>IF(K72&gt;=7000,3,IF(K72&gt;=4500,2,IF(K72&gt;=1,1,"-")))</f>
        <v>3</v>
      </c>
      <c r="S72" s="18">
        <f>IF(K72=0,"-",IF(K72&gt;=M72,1,0))</f>
        <v>1</v>
      </c>
      <c r="T72" s="159">
        <v>1</v>
      </c>
      <c r="U72" s="18">
        <f>SUM(R72:T72)</f>
        <v>5</v>
      </c>
      <c r="V72" s="117">
        <f t="shared" si="7"/>
        <v>0.42</v>
      </c>
    </row>
    <row r="73" spans="1:22" s="72" customFormat="1" ht="63.75" customHeight="1">
      <c r="A73" s="304" t="s">
        <v>168</v>
      </c>
      <c r="B73" s="15">
        <v>1.67</v>
      </c>
      <c r="C73" s="156">
        <f>'[1]SAR-10'!$C$128</f>
        <v>2982</v>
      </c>
      <c r="D73" s="156">
        <f>'[1]SAR-10'!$C$25</f>
        <v>3000</v>
      </c>
      <c r="E73" s="15">
        <f>C73/D73*100</f>
        <v>99.4</v>
      </c>
      <c r="F73" s="156">
        <f>'[1]SAR-10'!$D$128</f>
        <v>3477</v>
      </c>
      <c r="G73" s="156">
        <f>'[1]SAR-10'!$D$25</f>
        <v>3508</v>
      </c>
      <c r="H73" s="15">
        <f>F73/G73*100</f>
        <v>99.11630558722919</v>
      </c>
      <c r="I73" s="156">
        <f>'[1]SAR-10'!$E$128</f>
        <v>3178</v>
      </c>
      <c r="J73" s="156">
        <f>'[1]SAR-10'!$E$25</f>
        <v>3199</v>
      </c>
      <c r="K73" s="15">
        <f>I73/J73*100</f>
        <v>99.34354485776805</v>
      </c>
      <c r="L73" s="102" t="s">
        <v>169</v>
      </c>
      <c r="M73" s="158">
        <v>90</v>
      </c>
      <c r="N73" s="262">
        <v>5</v>
      </c>
      <c r="O73" s="328" t="s">
        <v>247</v>
      </c>
      <c r="P73" s="305" t="s">
        <v>248</v>
      </c>
      <c r="Q73" s="305" t="s">
        <v>249</v>
      </c>
      <c r="R73" s="18">
        <f>IF(K73&gt;=99.5,3,IF(K73&gt;=95,2,IF(K73&gt;=90,1,0)))</f>
        <v>2</v>
      </c>
      <c r="S73" s="18">
        <f t="shared" si="8"/>
        <v>1</v>
      </c>
      <c r="T73" s="159">
        <v>0</v>
      </c>
      <c r="U73" s="18">
        <f>SUM(R73:T73)</f>
        <v>3</v>
      </c>
      <c r="V73" s="117">
        <f t="shared" si="7"/>
        <v>0.25</v>
      </c>
    </row>
    <row r="74" spans="1:22" ht="42">
      <c r="A74" s="20" t="s">
        <v>58</v>
      </c>
      <c r="B74" s="15">
        <v>1.67</v>
      </c>
      <c r="C74" s="16"/>
      <c r="D74" s="16"/>
      <c r="E74" s="159">
        <v>5</v>
      </c>
      <c r="F74" s="16"/>
      <c r="G74" s="16"/>
      <c r="H74" s="159">
        <v>5</v>
      </c>
      <c r="I74" s="16"/>
      <c r="J74" s="16"/>
      <c r="K74" s="159">
        <v>5</v>
      </c>
      <c r="L74" s="93" t="s">
        <v>240</v>
      </c>
      <c r="M74" s="165">
        <v>5</v>
      </c>
      <c r="N74" s="262">
        <v>4</v>
      </c>
      <c r="O74" s="67">
        <v>1</v>
      </c>
      <c r="P74" s="69" t="s">
        <v>160</v>
      </c>
      <c r="Q74" s="69" t="s">
        <v>161</v>
      </c>
      <c r="R74" s="18">
        <f>IF(K74&gt;=4,3,IF(K74&gt;=2,2,IF(K74=1,1,"-")))</f>
        <v>3</v>
      </c>
      <c r="S74" s="18">
        <f t="shared" si="8"/>
        <v>1</v>
      </c>
      <c r="T74" s="159">
        <v>1</v>
      </c>
      <c r="U74" s="18">
        <f>SUM(R74:T74)</f>
        <v>5</v>
      </c>
      <c r="V74" s="117">
        <f t="shared" si="7"/>
        <v>0.42</v>
      </c>
    </row>
    <row r="75" spans="1:22" ht="63">
      <c r="A75" s="61" t="s">
        <v>57</v>
      </c>
      <c r="B75" s="42">
        <v>1.67</v>
      </c>
      <c r="C75" s="175">
        <f>'[1]SAR-10'!$C$129</f>
        <v>261</v>
      </c>
      <c r="D75" s="175">
        <f>'[1]SAR-10'!$C$130</f>
        <v>586</v>
      </c>
      <c r="E75" s="42">
        <f>C75/D75*100</f>
        <v>44.53924914675768</v>
      </c>
      <c r="F75" s="175">
        <f>'[1]SAR-10'!$D$129</f>
        <v>301</v>
      </c>
      <c r="G75" s="175">
        <f>'[1]SAR-10'!$D$130</f>
        <v>594</v>
      </c>
      <c r="H75" s="42">
        <f>F75/G75*100</f>
        <v>50.67340067340067</v>
      </c>
      <c r="I75" s="175">
        <f>'[1]SAR-10'!$E$129</f>
        <v>341</v>
      </c>
      <c r="J75" s="175">
        <f>'[1]SAR-10'!$E$130</f>
        <v>821</v>
      </c>
      <c r="K75" s="42">
        <f>I75/J75*100</f>
        <v>41.534713763702804</v>
      </c>
      <c r="L75" s="111" t="s">
        <v>169</v>
      </c>
      <c r="M75" s="286">
        <v>50</v>
      </c>
      <c r="N75" s="262">
        <v>2</v>
      </c>
      <c r="O75" s="84" t="s">
        <v>137</v>
      </c>
      <c r="P75" s="44" t="s">
        <v>138</v>
      </c>
      <c r="Q75" s="44" t="s">
        <v>139</v>
      </c>
      <c r="R75" s="45">
        <f>IF(K75&gt;80,3,IF(K75&gt;=71,2,IF(K75&gt;=61,1,0)))</f>
        <v>0</v>
      </c>
      <c r="S75" s="45">
        <f t="shared" si="8"/>
        <v>0</v>
      </c>
      <c r="T75" s="164">
        <v>0</v>
      </c>
      <c r="U75" s="45">
        <f>SUM(R75:T75)</f>
        <v>0</v>
      </c>
      <c r="V75" s="126">
        <f t="shared" si="7"/>
        <v>0</v>
      </c>
    </row>
    <row r="76" spans="1:23" ht="21">
      <c r="A76" s="47" t="s">
        <v>59</v>
      </c>
      <c r="B76" s="48"/>
      <c r="C76" s="49"/>
      <c r="D76" s="49"/>
      <c r="E76" s="48"/>
      <c r="F76" s="49"/>
      <c r="G76" s="49"/>
      <c r="H76" s="48"/>
      <c r="I76" s="49"/>
      <c r="J76" s="49"/>
      <c r="K76" s="48"/>
      <c r="L76" s="100"/>
      <c r="M76" s="133"/>
      <c r="N76" s="145"/>
      <c r="O76" s="51"/>
      <c r="P76" s="51"/>
      <c r="Q76" s="51"/>
      <c r="R76" s="120">
        <f>ROUND((((R64*$B$64)+(R65*$B$65)+(R66*$B$66)+(R67*$B$67)+(R68*$B$68)+(R69*$B$69)+(R70*$B$70)+(R71*$B$71)+(R72*$B$72)+(R73*$B$73)+(R74*$B$74)+(R75*$B$75))/$B$63),2)</f>
        <v>2.33</v>
      </c>
      <c r="S76" s="120">
        <f>ROUND((((S64*$B$64)+(S65*$B$65)+(S66*$B$66)+(S67*$B$67)+(S68*$B$68)+(S69*$B$69)+(S70*$B$70)+(S71*$B$71)+(S72*$B$72)+(S73*$B$73)+(S74*$B$74)+(S75*$B$75))/$B$63),2)</f>
        <v>0.83</v>
      </c>
      <c r="T76" s="120">
        <f>ROUND((((T64*$B$64)+(T65*$B$65)+(T66*$B$66)+(T67*$B$67)+(1*$B$68)+(T69*$B$69)+(T70*$B$70)+(T71*$B$71)+(T72*$B$72)+(T73*$B$73)+(T74*$B$74)+(T75*$B$75))/$B$63),2)</f>
        <v>0.58</v>
      </c>
      <c r="U76" s="120">
        <f>ROUND(((SUM(U64:U75))/12),2)</f>
        <v>3.75</v>
      </c>
      <c r="V76" s="120">
        <f>ROUND((SUM(V64:V75)),2)</f>
        <v>3.77</v>
      </c>
      <c r="W76" s="306"/>
    </row>
    <row r="77" spans="1:22" ht="21">
      <c r="A77" s="56" t="s">
        <v>10</v>
      </c>
      <c r="B77" s="57">
        <f>SUM(B78:B80)</f>
        <v>20</v>
      </c>
      <c r="C77" s="58"/>
      <c r="D77" s="58"/>
      <c r="E77" s="57"/>
      <c r="F77" s="58"/>
      <c r="G77" s="58"/>
      <c r="H77" s="57"/>
      <c r="I77" s="58"/>
      <c r="J77" s="58"/>
      <c r="K77" s="57"/>
      <c r="L77" s="96"/>
      <c r="M77" s="137"/>
      <c r="N77" s="149"/>
      <c r="O77" s="59"/>
      <c r="P77" s="59"/>
      <c r="Q77" s="59"/>
      <c r="R77" s="60"/>
      <c r="S77" s="60"/>
      <c r="T77" s="60"/>
      <c r="U77" s="60"/>
      <c r="V77" s="124"/>
    </row>
    <row r="78" spans="1:22" s="72" customFormat="1" ht="61.5" customHeight="1">
      <c r="A78" s="30" t="s">
        <v>60</v>
      </c>
      <c r="B78" s="35">
        <v>10</v>
      </c>
      <c r="C78" s="31" t="s">
        <v>105</v>
      </c>
      <c r="D78" s="31" t="s">
        <v>105</v>
      </c>
      <c r="E78" s="259">
        <v>5</v>
      </c>
      <c r="F78" s="31" t="s">
        <v>105</v>
      </c>
      <c r="G78" s="31" t="s">
        <v>105</v>
      </c>
      <c r="H78" s="259">
        <v>5</v>
      </c>
      <c r="I78" s="31" t="s">
        <v>105</v>
      </c>
      <c r="J78" s="31" t="s">
        <v>105</v>
      </c>
      <c r="K78" s="294">
        <v>5</v>
      </c>
      <c r="L78" s="106" t="s">
        <v>169</v>
      </c>
      <c r="M78" s="138">
        <v>5</v>
      </c>
      <c r="N78" s="262" t="s">
        <v>233</v>
      </c>
      <c r="O78" s="80" t="s">
        <v>145</v>
      </c>
      <c r="P78" s="82">
        <v>3</v>
      </c>
      <c r="Q78" s="81" t="s">
        <v>193</v>
      </c>
      <c r="R78" s="18">
        <f>IF(K78&gt;=4,3,IF(K78=3,2,IF(K78&gt;=1,1,"-")))</f>
        <v>3</v>
      </c>
      <c r="S78" s="18">
        <f>IF(K78=0,"-",IF(K78&gt;=M78,1,0))</f>
        <v>1</v>
      </c>
      <c r="T78" s="159">
        <v>1</v>
      </c>
      <c r="U78" s="18">
        <f>SUM(R78:T78)</f>
        <v>5</v>
      </c>
      <c r="V78" s="117">
        <f>ROUND((U78*B78/B$77),2)</f>
        <v>2.5</v>
      </c>
    </row>
    <row r="79" spans="1:22" s="72" customFormat="1" ht="61.5" customHeight="1">
      <c r="A79" s="14" t="s">
        <v>61</v>
      </c>
      <c r="B79" s="15">
        <v>10</v>
      </c>
      <c r="C79" s="16" t="s">
        <v>105</v>
      </c>
      <c r="D79" s="16" t="s">
        <v>105</v>
      </c>
      <c r="E79" s="256">
        <v>5</v>
      </c>
      <c r="F79" s="16" t="s">
        <v>105</v>
      </c>
      <c r="G79" s="16" t="s">
        <v>105</v>
      </c>
      <c r="H79" s="256">
        <v>5</v>
      </c>
      <c r="I79" s="16" t="s">
        <v>105</v>
      </c>
      <c r="J79" s="16" t="s">
        <v>105</v>
      </c>
      <c r="K79" s="116">
        <v>5</v>
      </c>
      <c r="L79" s="110" t="s">
        <v>169</v>
      </c>
      <c r="M79" s="226">
        <v>5</v>
      </c>
      <c r="N79" s="262" t="s">
        <v>233</v>
      </c>
      <c r="O79" s="80" t="s">
        <v>145</v>
      </c>
      <c r="P79" s="82">
        <v>3</v>
      </c>
      <c r="Q79" s="81" t="s">
        <v>193</v>
      </c>
      <c r="R79" s="18">
        <f>IF(K79&gt;=4,3,IF(K79=3,2,IF(K79&gt;=1,1,"-")))</f>
        <v>3</v>
      </c>
      <c r="S79" s="18">
        <f>IF(K79=0,"-",IF(K79&gt;=M79,1,0))</f>
        <v>1</v>
      </c>
      <c r="T79" s="159">
        <v>1</v>
      </c>
      <c r="U79" s="18">
        <f>SUM(R79:T79)</f>
        <v>5</v>
      </c>
      <c r="V79" s="117">
        <f>ROUND((U79*B79/B$77),2)</f>
        <v>2.5</v>
      </c>
    </row>
    <row r="80" spans="1:22" s="72" customFormat="1" ht="21" customHeight="1">
      <c r="A80" s="41" t="s">
        <v>62</v>
      </c>
      <c r="B80" s="42" t="s">
        <v>105</v>
      </c>
      <c r="C80" s="43" t="s">
        <v>105</v>
      </c>
      <c r="D80" s="43" t="s">
        <v>105</v>
      </c>
      <c r="E80" s="301" t="s">
        <v>105</v>
      </c>
      <c r="F80" s="43" t="s">
        <v>105</v>
      </c>
      <c r="G80" s="43" t="s">
        <v>105</v>
      </c>
      <c r="H80" s="301" t="s">
        <v>105</v>
      </c>
      <c r="I80" s="43" t="s">
        <v>105</v>
      </c>
      <c r="J80" s="43" t="s">
        <v>105</v>
      </c>
      <c r="K80" s="295" t="s">
        <v>105</v>
      </c>
      <c r="L80" s="227"/>
      <c r="M80" s="140"/>
      <c r="N80" s="148"/>
      <c r="O80" s="77" t="s">
        <v>105</v>
      </c>
      <c r="P80" s="77" t="s">
        <v>105</v>
      </c>
      <c r="Q80" s="77" t="s">
        <v>105</v>
      </c>
      <c r="R80" s="78"/>
      <c r="S80" s="78"/>
      <c r="T80" s="78"/>
      <c r="U80" s="78"/>
      <c r="V80" s="123"/>
    </row>
    <row r="81" spans="1:23" s="72" customFormat="1" ht="21">
      <c r="A81" s="47" t="s">
        <v>63</v>
      </c>
      <c r="B81" s="48"/>
      <c r="C81" s="49"/>
      <c r="D81" s="49"/>
      <c r="E81" s="63"/>
      <c r="F81" s="64"/>
      <c r="G81" s="64"/>
      <c r="H81" s="63"/>
      <c r="I81" s="64"/>
      <c r="J81" s="64"/>
      <c r="K81" s="63"/>
      <c r="L81" s="98"/>
      <c r="M81" s="133"/>
      <c r="N81" s="145"/>
      <c r="O81" s="51"/>
      <c r="P81" s="51"/>
      <c r="Q81" s="51"/>
      <c r="R81" s="312">
        <f>ROUND((((R78*$B$78)+(R79*$B$79))/$B$77),2)</f>
        <v>3</v>
      </c>
      <c r="S81" s="312">
        <f>ROUND((((S78*$B$78)+(S79*$B$79))/$B$77),2)</f>
        <v>1</v>
      </c>
      <c r="T81" s="312">
        <f>ROUND((((T78*$B$78)+(T79*$B$79))/$B$77),2)</f>
        <v>1</v>
      </c>
      <c r="U81" s="312">
        <f>ROUND(((SUM(U78:U79))/2),2)</f>
        <v>5</v>
      </c>
      <c r="V81" s="312">
        <f>ROUND((SUM(V78:V79)),2)</f>
        <v>5</v>
      </c>
      <c r="W81" s="308"/>
    </row>
    <row r="82" spans="1:22" s="72" customFormat="1" ht="42">
      <c r="A82" s="66" t="s">
        <v>64</v>
      </c>
      <c r="B82" s="26">
        <f>SUM(B83:B85)</f>
        <v>10</v>
      </c>
      <c r="C82" s="49"/>
      <c r="D82" s="49"/>
      <c r="E82" s="63"/>
      <c r="F82" s="64"/>
      <c r="G82" s="64"/>
      <c r="H82" s="63"/>
      <c r="I82" s="64"/>
      <c r="J82" s="64"/>
      <c r="K82" s="63"/>
      <c r="L82" s="98"/>
      <c r="M82" s="133"/>
      <c r="N82" s="145"/>
      <c r="O82" s="51"/>
      <c r="P82" s="51"/>
      <c r="Q82" s="51"/>
      <c r="R82" s="52"/>
      <c r="S82" s="52"/>
      <c r="T82" s="52"/>
      <c r="U82" s="52"/>
      <c r="V82" s="119"/>
    </row>
    <row r="83" spans="1:22" s="72" customFormat="1" ht="84">
      <c r="A83" s="65" t="s">
        <v>65</v>
      </c>
      <c r="B83" s="35">
        <v>3.34</v>
      </c>
      <c r="C83" s="176">
        <f>'[1]SAR-10'!$C$131</f>
        <v>308</v>
      </c>
      <c r="D83" s="176">
        <f>'[1]SAR-10'!$C$132</f>
        <v>695</v>
      </c>
      <c r="E83" s="118">
        <f>C83/D83*100</f>
        <v>44.31654676258992</v>
      </c>
      <c r="F83" s="176">
        <f>'[1]SAR-10'!$D$131</f>
        <v>379</v>
      </c>
      <c r="G83" s="176">
        <f>'[1]SAR-10'!$D$132</f>
        <v>804</v>
      </c>
      <c r="H83" s="118">
        <f>F83/G83*100</f>
        <v>47.13930348258707</v>
      </c>
      <c r="I83" s="176">
        <f>'[1]SAR-10'!$E$131</f>
        <v>232</v>
      </c>
      <c r="J83" s="176">
        <f>'[1]SAR-10'!$E$132</f>
        <v>727</v>
      </c>
      <c r="K83" s="118">
        <f>I83/J83*100</f>
        <v>31.911966987620353</v>
      </c>
      <c r="L83" s="106" t="s">
        <v>169</v>
      </c>
      <c r="M83" s="132">
        <v>30</v>
      </c>
      <c r="N83" s="262">
        <v>4</v>
      </c>
      <c r="O83" s="80" t="s">
        <v>207</v>
      </c>
      <c r="P83" s="80" t="s">
        <v>208</v>
      </c>
      <c r="Q83" s="33" t="s">
        <v>209</v>
      </c>
      <c r="R83" s="18">
        <f>IF(K83&gt;50,3,IF(K83&gt;=41,2,IF(K83&gt;=31,1,0)))</f>
        <v>1</v>
      </c>
      <c r="S83" s="18">
        <f>IF(K83=0,"-",IF(K83&gt;=M83,1,0))</f>
        <v>1</v>
      </c>
      <c r="T83" s="159">
        <v>0</v>
      </c>
      <c r="U83" s="18">
        <f>SUM(R83:T83)</f>
        <v>2</v>
      </c>
      <c r="V83" s="117">
        <f>ROUND((U83*B83/B$82),2)</f>
        <v>0.67</v>
      </c>
    </row>
    <row r="84" spans="1:22" s="72" customFormat="1" ht="63">
      <c r="A84" s="20" t="s">
        <v>234</v>
      </c>
      <c r="B84" s="15">
        <v>3.33</v>
      </c>
      <c r="C84" s="16" t="s">
        <v>105</v>
      </c>
      <c r="D84" s="16" t="s">
        <v>105</v>
      </c>
      <c r="E84" s="169">
        <f>'[1]SAR-10'!$C$147</f>
        <v>74</v>
      </c>
      <c r="F84" s="19" t="s">
        <v>105</v>
      </c>
      <c r="G84" s="19" t="s">
        <v>105</v>
      </c>
      <c r="H84" s="169">
        <f>'[1]SAR-10'!$D$147</f>
        <v>116</v>
      </c>
      <c r="I84" s="19" t="s">
        <v>105</v>
      </c>
      <c r="J84" s="19" t="s">
        <v>105</v>
      </c>
      <c r="K84" s="169">
        <f>'[1]SAR-10'!$E$147</f>
        <v>82</v>
      </c>
      <c r="L84" s="106" t="s">
        <v>169</v>
      </c>
      <c r="M84" s="131">
        <v>20</v>
      </c>
      <c r="N84" s="262">
        <v>4</v>
      </c>
      <c r="O84" s="67">
        <v>1</v>
      </c>
      <c r="P84" s="69" t="s">
        <v>160</v>
      </c>
      <c r="Q84" s="68" t="s">
        <v>193</v>
      </c>
      <c r="R84" s="18">
        <f>IF(K84&gt;=4,3,IF(K84&gt;=2,2,IF(K84=1,1,0)))</f>
        <v>3</v>
      </c>
      <c r="S84" s="18">
        <f>IF(K84=0,"-",IF(K84&gt;=M84,1,0))</f>
        <v>1</v>
      </c>
      <c r="T84" s="159">
        <v>1</v>
      </c>
      <c r="U84" s="18">
        <f>SUM(R84:T84)</f>
        <v>5</v>
      </c>
      <c r="V84" s="117">
        <f>ROUND((U84*B84/B$82),2)</f>
        <v>1.67</v>
      </c>
    </row>
    <row r="85" spans="1:22" s="72" customFormat="1" ht="63">
      <c r="A85" s="61" t="s">
        <v>66</v>
      </c>
      <c r="B85" s="42">
        <v>3.33</v>
      </c>
      <c r="C85" s="43" t="s">
        <v>105</v>
      </c>
      <c r="D85" s="43" t="s">
        <v>105</v>
      </c>
      <c r="E85" s="43" t="s">
        <v>105</v>
      </c>
      <c r="F85" s="43" t="s">
        <v>105</v>
      </c>
      <c r="G85" s="43" t="s">
        <v>105</v>
      </c>
      <c r="H85" s="43" t="s">
        <v>105</v>
      </c>
      <c r="I85" s="43" t="s">
        <v>105</v>
      </c>
      <c r="J85" s="43" t="s">
        <v>105</v>
      </c>
      <c r="K85" s="295">
        <v>5</v>
      </c>
      <c r="L85" s="296" t="s">
        <v>240</v>
      </c>
      <c r="M85" s="297">
        <v>5</v>
      </c>
      <c r="N85" s="262">
        <v>4</v>
      </c>
      <c r="O85" s="84" t="s">
        <v>145</v>
      </c>
      <c r="P85" s="84" t="s">
        <v>156</v>
      </c>
      <c r="Q85" s="189">
        <v>5</v>
      </c>
      <c r="R85" s="18">
        <f>IF(K85=5,3,IF(K85&gt;=3,2,IF(K85&gt;=1,1,0)))</f>
        <v>3</v>
      </c>
      <c r="S85" s="18">
        <f>IF(K85=0,"-",IF(K85=M85,1,0))</f>
        <v>1</v>
      </c>
      <c r="T85" s="159">
        <v>0</v>
      </c>
      <c r="U85" s="18">
        <v>5</v>
      </c>
      <c r="V85" s="117">
        <f>ROUND((U85*B85/B$82),2)</f>
        <v>1.67</v>
      </c>
    </row>
    <row r="86" spans="1:23" s="72" customFormat="1" ht="21">
      <c r="A86" s="47" t="s">
        <v>75</v>
      </c>
      <c r="B86" s="48"/>
      <c r="C86" s="49"/>
      <c r="D86" s="49"/>
      <c r="E86" s="63"/>
      <c r="F86" s="64"/>
      <c r="G86" s="64"/>
      <c r="H86" s="63"/>
      <c r="I86" s="64"/>
      <c r="J86" s="64"/>
      <c r="K86" s="63"/>
      <c r="L86" s="98"/>
      <c r="M86" s="133"/>
      <c r="N86" s="145"/>
      <c r="O86" s="51"/>
      <c r="P86" s="51"/>
      <c r="Q86" s="51"/>
      <c r="R86" s="312">
        <f>ROUND((((R83*$B$83)+(R84*$B$84)+(R85*$B$85))/$B$82),2)</f>
        <v>2.33</v>
      </c>
      <c r="S86" s="312">
        <f>ROUND((((S83*$B$83)+(S84*$B$84)+(S85*$B$85))/$B$82),2)</f>
        <v>1</v>
      </c>
      <c r="T86" s="312">
        <f>ROUND((((T83*$B$83)+(T84*$B$84)+(1*$B$85))/$B$82),2)</f>
        <v>0.67</v>
      </c>
      <c r="U86" s="312">
        <f>ROUND(((SUM(U83:U85))/3),2)</f>
        <v>4</v>
      </c>
      <c r="V86" s="312">
        <f>ROUND((SUM(V83:V85)),2)</f>
        <v>4.01</v>
      </c>
      <c r="W86" s="308"/>
    </row>
    <row r="87" spans="1:22" s="72" customFormat="1" ht="21">
      <c r="A87" s="25" t="s">
        <v>101</v>
      </c>
      <c r="B87" s="26">
        <f>SUM(B88:B99)</f>
        <v>10</v>
      </c>
      <c r="C87" s="49"/>
      <c r="D87" s="49"/>
      <c r="E87" s="63"/>
      <c r="F87" s="64"/>
      <c r="G87" s="64"/>
      <c r="H87" s="63"/>
      <c r="I87" s="64"/>
      <c r="J87" s="64"/>
      <c r="K87" s="63"/>
      <c r="L87" s="98"/>
      <c r="M87" s="133"/>
      <c r="N87" s="145"/>
      <c r="O87" s="51"/>
      <c r="P87" s="51"/>
      <c r="Q87" s="51"/>
      <c r="R87" s="52"/>
      <c r="S87" s="52"/>
      <c r="T87" s="52"/>
      <c r="U87" s="52"/>
      <c r="V87" s="119"/>
    </row>
    <row r="88" spans="1:22" s="232" customFormat="1" ht="42">
      <c r="A88" s="228" t="s">
        <v>71</v>
      </c>
      <c r="B88" s="229" t="s">
        <v>105</v>
      </c>
      <c r="C88" s="230">
        <f>'[1]SAR-10'!$C$135</f>
        <v>10</v>
      </c>
      <c r="D88" s="230">
        <f>'[1]SAR-10'!$C$134</f>
        <v>449</v>
      </c>
      <c r="E88" s="231">
        <f>C88/D88*100</f>
        <v>2.2271714922048997</v>
      </c>
      <c r="F88" s="302">
        <f>'[1]SAR-10'!$D$135</f>
        <v>13</v>
      </c>
      <c r="G88" s="230">
        <f>'[1]SAR-10'!$D$134</f>
        <v>479</v>
      </c>
      <c r="H88" s="118">
        <f>F88/G88*100</f>
        <v>2.7139874739039667</v>
      </c>
      <c r="I88" s="230">
        <f>'[1]SAR-10'!$E$135</f>
        <v>17</v>
      </c>
      <c r="J88" s="302">
        <f>'[1]SAR-10'!$E$134</f>
        <v>513</v>
      </c>
      <c r="K88" s="118">
        <f>I88/J88*100</f>
        <v>3.313840155945419</v>
      </c>
      <c r="L88" s="112"/>
      <c r="M88" s="141"/>
      <c r="N88" s="151"/>
      <c r="O88" s="73"/>
      <c r="P88" s="73"/>
      <c r="Q88" s="73"/>
      <c r="R88" s="74"/>
      <c r="S88" s="74"/>
      <c r="T88" s="74"/>
      <c r="U88" s="74"/>
      <c r="V88" s="128"/>
    </row>
    <row r="89" spans="1:22" s="232" customFormat="1" ht="21">
      <c r="A89" s="233" t="s">
        <v>67</v>
      </c>
      <c r="B89" s="229" t="s">
        <v>105</v>
      </c>
      <c r="C89" s="234" t="s">
        <v>105</v>
      </c>
      <c r="D89" s="234" t="s">
        <v>105</v>
      </c>
      <c r="E89" s="235" t="str">
        <f>'[1]SAR-10'!$C$136</f>
        <v>-</v>
      </c>
      <c r="F89" s="236" t="s">
        <v>105</v>
      </c>
      <c r="G89" s="236" t="s">
        <v>105</v>
      </c>
      <c r="H89" s="235" t="str">
        <f>'[1]SAR-10'!$D$136</f>
        <v>-</v>
      </c>
      <c r="I89" s="236" t="s">
        <v>105</v>
      </c>
      <c r="J89" s="236" t="s">
        <v>105</v>
      </c>
      <c r="K89" s="235">
        <f>'[1]SAR-10'!$E$136</f>
        <v>1</v>
      </c>
      <c r="L89" s="107"/>
      <c r="M89" s="139"/>
      <c r="N89" s="151"/>
      <c r="O89" s="73"/>
      <c r="P89" s="73"/>
      <c r="Q89" s="73"/>
      <c r="R89" s="76"/>
      <c r="S89" s="76"/>
      <c r="T89" s="76"/>
      <c r="U89" s="76"/>
      <c r="V89" s="125"/>
    </row>
    <row r="90" spans="1:22" s="232" customFormat="1" ht="42">
      <c r="A90" s="233" t="s">
        <v>102</v>
      </c>
      <c r="B90" s="229" t="s">
        <v>105</v>
      </c>
      <c r="C90" s="234" t="s">
        <v>105</v>
      </c>
      <c r="D90" s="234" t="s">
        <v>105</v>
      </c>
      <c r="E90" s="235">
        <f>'[1]SAR-10'!$C$137</f>
        <v>100</v>
      </c>
      <c r="F90" s="236" t="s">
        <v>105</v>
      </c>
      <c r="G90" s="236" t="s">
        <v>105</v>
      </c>
      <c r="H90" s="116">
        <f>'[1]SAR-10'!$D$137</f>
        <v>78</v>
      </c>
      <c r="I90" s="236" t="s">
        <v>105</v>
      </c>
      <c r="J90" s="236" t="s">
        <v>105</v>
      </c>
      <c r="K90" s="235">
        <f>'[1]SAR-10'!$E$137</f>
        <v>89</v>
      </c>
      <c r="L90" s="107"/>
      <c r="M90" s="139"/>
      <c r="N90" s="151"/>
      <c r="O90" s="73"/>
      <c r="P90" s="73"/>
      <c r="Q90" s="73"/>
      <c r="R90" s="76"/>
      <c r="S90" s="76"/>
      <c r="T90" s="76"/>
      <c r="U90" s="76"/>
      <c r="V90" s="125"/>
    </row>
    <row r="91" spans="1:22" s="232" customFormat="1" ht="42" customHeight="1">
      <c r="A91" s="233" t="s">
        <v>167</v>
      </c>
      <c r="B91" s="229" t="s">
        <v>105</v>
      </c>
      <c r="C91" s="234" t="s">
        <v>105</v>
      </c>
      <c r="D91" s="234" t="s">
        <v>105</v>
      </c>
      <c r="E91" s="235">
        <f>'[1]SAR-10'!$C$138</f>
        <v>22</v>
      </c>
      <c r="F91" s="236" t="s">
        <v>105</v>
      </c>
      <c r="G91" s="236" t="s">
        <v>105</v>
      </c>
      <c r="H91" s="116">
        <f>'[1]SAR-10'!$D$138</f>
        <v>24</v>
      </c>
      <c r="I91" s="236" t="s">
        <v>105</v>
      </c>
      <c r="J91" s="236" t="s">
        <v>105</v>
      </c>
      <c r="K91" s="235">
        <f>'[1]SAR-10'!$E$138</f>
        <v>26</v>
      </c>
      <c r="L91" s="107"/>
      <c r="M91" s="139"/>
      <c r="N91" s="151"/>
      <c r="O91" s="73"/>
      <c r="P91" s="73"/>
      <c r="Q91" s="73"/>
      <c r="R91" s="76"/>
      <c r="S91" s="76"/>
      <c r="T91" s="76"/>
      <c r="U91" s="76"/>
      <c r="V91" s="125"/>
    </row>
    <row r="92" spans="1:22" s="232" customFormat="1" ht="21" customHeight="1">
      <c r="A92" s="233" t="s">
        <v>68</v>
      </c>
      <c r="B92" s="229" t="s">
        <v>105</v>
      </c>
      <c r="C92" s="234" t="s">
        <v>105</v>
      </c>
      <c r="D92" s="234" t="s">
        <v>105</v>
      </c>
      <c r="E92" s="235">
        <f>'[1]SAR-10'!$C$139</f>
        <v>1</v>
      </c>
      <c r="F92" s="236" t="s">
        <v>105</v>
      </c>
      <c r="G92" s="236" t="s">
        <v>105</v>
      </c>
      <c r="H92" s="116" t="str">
        <f>'[1]SAR-10'!$D$139</f>
        <v>-</v>
      </c>
      <c r="I92" s="236" t="s">
        <v>105</v>
      </c>
      <c r="J92" s="236" t="s">
        <v>105</v>
      </c>
      <c r="K92" s="235">
        <f>'[1]SAR-10'!$E$139</f>
        <v>4</v>
      </c>
      <c r="L92" s="107"/>
      <c r="M92" s="139"/>
      <c r="N92" s="151"/>
      <c r="O92" s="73"/>
      <c r="P92" s="73"/>
      <c r="Q92" s="73"/>
      <c r="R92" s="76"/>
      <c r="S92" s="76"/>
      <c r="T92" s="76"/>
      <c r="U92" s="76"/>
      <c r="V92" s="125"/>
    </row>
    <row r="93" spans="1:22" s="232" customFormat="1" ht="42" customHeight="1">
      <c r="A93" s="233" t="s">
        <v>165</v>
      </c>
      <c r="B93" s="229" t="s">
        <v>105</v>
      </c>
      <c r="C93" s="234" t="s">
        <v>105</v>
      </c>
      <c r="D93" s="234" t="s">
        <v>105</v>
      </c>
      <c r="E93" s="235">
        <f>'[1]SAR-10'!$C$140</f>
        <v>86</v>
      </c>
      <c r="F93" s="236" t="s">
        <v>105</v>
      </c>
      <c r="G93" s="236" t="s">
        <v>105</v>
      </c>
      <c r="H93" s="116">
        <f>'[1]SAR-10'!$D$140</f>
        <v>51</v>
      </c>
      <c r="I93" s="236" t="s">
        <v>105</v>
      </c>
      <c r="J93" s="236" t="s">
        <v>105</v>
      </c>
      <c r="K93" s="235">
        <f>'[1]SAR-10'!$E$140</f>
        <v>68</v>
      </c>
      <c r="L93" s="107"/>
      <c r="M93" s="139"/>
      <c r="N93" s="151"/>
      <c r="O93" s="73"/>
      <c r="P93" s="73"/>
      <c r="Q93" s="73"/>
      <c r="R93" s="76"/>
      <c r="S93" s="76"/>
      <c r="T93" s="76"/>
      <c r="U93" s="76"/>
      <c r="V93" s="125"/>
    </row>
    <row r="94" spans="1:22" s="232" customFormat="1" ht="42" customHeight="1">
      <c r="A94" s="233" t="s">
        <v>166</v>
      </c>
      <c r="B94" s="229" t="s">
        <v>105</v>
      </c>
      <c r="C94" s="234" t="s">
        <v>105</v>
      </c>
      <c r="D94" s="234" t="s">
        <v>105</v>
      </c>
      <c r="E94" s="193" t="str">
        <f>'[1]SAR-10'!$C$141</f>
        <v>-</v>
      </c>
      <c r="F94" s="236" t="s">
        <v>105</v>
      </c>
      <c r="G94" s="236" t="s">
        <v>105</v>
      </c>
      <c r="H94" s="169" t="str">
        <f>'[1]SAR-10'!$D$141</f>
        <v>-</v>
      </c>
      <c r="I94" s="236" t="s">
        <v>105</v>
      </c>
      <c r="J94" s="236" t="s">
        <v>105</v>
      </c>
      <c r="K94" s="193" t="str">
        <f>'[1]SAR-10'!$E$141</f>
        <v>-</v>
      </c>
      <c r="L94" s="107"/>
      <c r="M94" s="139"/>
      <c r="N94" s="151"/>
      <c r="O94" s="73"/>
      <c r="P94" s="73"/>
      <c r="Q94" s="73"/>
      <c r="R94" s="76"/>
      <c r="S94" s="76"/>
      <c r="T94" s="76"/>
      <c r="U94" s="76"/>
      <c r="V94" s="125"/>
    </row>
    <row r="95" spans="1:22" s="232" customFormat="1" ht="42">
      <c r="A95" s="233" t="s">
        <v>72</v>
      </c>
      <c r="B95" s="229" t="s">
        <v>105</v>
      </c>
      <c r="C95" s="234" t="s">
        <v>105</v>
      </c>
      <c r="D95" s="234" t="s">
        <v>105</v>
      </c>
      <c r="E95" s="235">
        <f>'[1]SAR-10'!$C$142</f>
        <v>1</v>
      </c>
      <c r="F95" s="236" t="s">
        <v>105</v>
      </c>
      <c r="G95" s="236" t="s">
        <v>105</v>
      </c>
      <c r="H95" s="116" t="str">
        <f>'[1]SAR-10'!$D$142</f>
        <v>-</v>
      </c>
      <c r="I95" s="236" t="s">
        <v>105</v>
      </c>
      <c r="J95" s="236" t="s">
        <v>105</v>
      </c>
      <c r="K95" s="235">
        <f>'[1]SAR-10'!$E$142</f>
        <v>5</v>
      </c>
      <c r="L95" s="107"/>
      <c r="M95" s="139"/>
      <c r="N95" s="151"/>
      <c r="O95" s="73"/>
      <c r="P95" s="73"/>
      <c r="Q95" s="73"/>
      <c r="R95" s="76"/>
      <c r="S95" s="76"/>
      <c r="T95" s="76"/>
      <c r="U95" s="76"/>
      <c r="V95" s="125"/>
    </row>
    <row r="96" spans="1:22" s="232" customFormat="1" ht="42">
      <c r="A96" s="233" t="s">
        <v>73</v>
      </c>
      <c r="B96" s="229">
        <v>10</v>
      </c>
      <c r="C96" s="234" t="s">
        <v>105</v>
      </c>
      <c r="D96" s="234" t="s">
        <v>105</v>
      </c>
      <c r="E96" s="235" t="str">
        <f>'[1]SAR-10'!$C$143</f>
        <v>-</v>
      </c>
      <c r="F96" s="236" t="s">
        <v>105</v>
      </c>
      <c r="G96" s="236" t="s">
        <v>105</v>
      </c>
      <c r="H96" s="116">
        <f>'[1]SAR-10'!$D$143</f>
        <v>11</v>
      </c>
      <c r="I96" s="236" t="s">
        <v>105</v>
      </c>
      <c r="J96" s="236" t="s">
        <v>105</v>
      </c>
      <c r="K96" s="235">
        <f>'[1]SAR-10'!$E$143</f>
        <v>12</v>
      </c>
      <c r="L96" s="240" t="s">
        <v>169</v>
      </c>
      <c r="M96" s="131">
        <v>5</v>
      </c>
      <c r="N96" s="262">
        <v>4</v>
      </c>
      <c r="O96" s="237" t="s">
        <v>145</v>
      </c>
      <c r="P96" s="237" t="s">
        <v>156</v>
      </c>
      <c r="Q96" s="238" t="s">
        <v>210</v>
      </c>
      <c r="R96" s="18">
        <f>IF(K96&gt;=5,3,IF(K96&gt;=3,2,IF(K96&gt;=1,1,0)))</f>
        <v>3</v>
      </c>
      <c r="S96" s="18">
        <f>IF(K96=0,"-",IF(K96&gt;=M96,1,0))</f>
        <v>1</v>
      </c>
      <c r="T96" s="159">
        <v>1</v>
      </c>
      <c r="U96" s="18">
        <f>SUM(R96:T96)</f>
        <v>5</v>
      </c>
      <c r="V96" s="117">
        <f>ROUND((U96*B96/B$87),2)</f>
        <v>5</v>
      </c>
    </row>
    <row r="97" spans="1:22" s="232" customFormat="1" ht="63">
      <c r="A97" s="239" t="s">
        <v>74</v>
      </c>
      <c r="B97" s="229" t="s">
        <v>105</v>
      </c>
      <c r="C97" s="234" t="s">
        <v>105</v>
      </c>
      <c r="D97" s="234" t="s">
        <v>105</v>
      </c>
      <c r="E97" s="303" t="str">
        <f>'[1]SAR-10'!$C$144</f>
        <v>5 โครงการ
ผู้เข้าร่วม 456 คน</v>
      </c>
      <c r="F97" s="236" t="s">
        <v>105</v>
      </c>
      <c r="G97" s="236" t="s">
        <v>105</v>
      </c>
      <c r="H97" s="316" t="str">
        <f>'[1]SAR-10'!$D$144</f>
        <v>3 โครงการ
ผู้เข้าร่วม 222 คน</v>
      </c>
      <c r="I97" s="236" t="s">
        <v>105</v>
      </c>
      <c r="J97" s="236" t="s">
        <v>105</v>
      </c>
      <c r="K97" s="303" t="str">
        <f>'[1]SAR-10'!$E$144</f>
        <v>6 โครงการ
ผู้เข้าร่วม 91 คน</v>
      </c>
      <c r="L97" s="107"/>
      <c r="M97" s="139"/>
      <c r="N97" s="151"/>
      <c r="O97" s="73"/>
      <c r="P97" s="73"/>
      <c r="Q97" s="73"/>
      <c r="R97" s="76"/>
      <c r="S97" s="76"/>
      <c r="T97" s="76"/>
      <c r="U97" s="76"/>
      <c r="V97" s="125"/>
    </row>
    <row r="98" spans="1:22" s="232" customFormat="1" ht="21" customHeight="1">
      <c r="A98" s="233" t="s">
        <v>103</v>
      </c>
      <c r="B98" s="229" t="s">
        <v>105</v>
      </c>
      <c r="C98" s="234" t="s">
        <v>105</v>
      </c>
      <c r="D98" s="234" t="s">
        <v>105</v>
      </c>
      <c r="E98" s="235" t="str">
        <f>'[1]SAR-10'!$C$145</f>
        <v>-</v>
      </c>
      <c r="F98" s="236" t="s">
        <v>105</v>
      </c>
      <c r="G98" s="236" t="s">
        <v>105</v>
      </c>
      <c r="H98" s="116" t="str">
        <f>'[1]SAR-10'!$D$145</f>
        <v>-</v>
      </c>
      <c r="I98" s="236" t="s">
        <v>105</v>
      </c>
      <c r="J98" s="236" t="s">
        <v>105</v>
      </c>
      <c r="K98" s="235" t="str">
        <f>'[1]SAR-10'!$E$145</f>
        <v>-</v>
      </c>
      <c r="L98" s="107"/>
      <c r="M98" s="139"/>
      <c r="N98" s="151"/>
      <c r="O98" s="73"/>
      <c r="P98" s="73"/>
      <c r="Q98" s="73"/>
      <c r="R98" s="76"/>
      <c r="S98" s="76"/>
      <c r="T98" s="76"/>
      <c r="U98" s="76"/>
      <c r="V98" s="125"/>
    </row>
    <row r="99" spans="1:22" s="232" customFormat="1" ht="42">
      <c r="A99" s="269" t="s">
        <v>69</v>
      </c>
      <c r="B99" s="270" t="s">
        <v>105</v>
      </c>
      <c r="C99" s="271" t="s">
        <v>105</v>
      </c>
      <c r="D99" s="271" t="s">
        <v>105</v>
      </c>
      <c r="E99" s="295" t="str">
        <f>'[1]SAR-10'!$C$146</f>
        <v>-</v>
      </c>
      <c r="F99" s="272" t="s">
        <v>105</v>
      </c>
      <c r="G99" s="272" t="s">
        <v>105</v>
      </c>
      <c r="H99" s="295" t="str">
        <f>'[1]SAR-10'!$D$146</f>
        <v>-</v>
      </c>
      <c r="I99" s="272" t="s">
        <v>105</v>
      </c>
      <c r="J99" s="272" t="s">
        <v>105</v>
      </c>
      <c r="K99" s="273" t="str">
        <f>'[1]SAR-10'!$E$146</f>
        <v>-</v>
      </c>
      <c r="L99" s="105"/>
      <c r="M99" s="140"/>
      <c r="N99" s="274"/>
      <c r="O99" s="275"/>
      <c r="P99" s="275"/>
      <c r="Q99" s="275"/>
      <c r="R99" s="78"/>
      <c r="S99" s="78"/>
      <c r="T99" s="78"/>
      <c r="U99" s="78"/>
      <c r="V99" s="123"/>
    </row>
    <row r="100" spans="1:22" s="327" customFormat="1" ht="21">
      <c r="A100" s="276" t="s">
        <v>70</v>
      </c>
      <c r="B100" s="319"/>
      <c r="C100" s="320"/>
      <c r="D100" s="320"/>
      <c r="E100" s="321"/>
      <c r="F100" s="322"/>
      <c r="G100" s="322"/>
      <c r="H100" s="321"/>
      <c r="I100" s="322"/>
      <c r="J100" s="322"/>
      <c r="K100" s="321"/>
      <c r="L100" s="323"/>
      <c r="M100" s="324"/>
      <c r="N100" s="325"/>
      <c r="O100" s="326"/>
      <c r="P100" s="326"/>
      <c r="Q100" s="326"/>
      <c r="R100" s="311">
        <f>ROUND(((R96*$B$96)/$B$87),2)</f>
        <v>3</v>
      </c>
      <c r="S100" s="120">
        <f>ROUND(((S96*$B$96)/$B$87),2)</f>
        <v>1</v>
      </c>
      <c r="T100" s="311">
        <f>ROUND(((T96*$B$96)/$B$87),2)</f>
        <v>1</v>
      </c>
      <c r="U100" s="311">
        <f>ROUND((SUM(U96)),2)</f>
        <v>5</v>
      </c>
      <c r="V100" s="311">
        <f>ROUND((SUM(R100:T100)),2)</f>
        <v>5</v>
      </c>
    </row>
    <row r="101" spans="1:22" s="327" customFormat="1" ht="21">
      <c r="A101" s="276" t="s">
        <v>76</v>
      </c>
      <c r="B101" s="277"/>
      <c r="C101" s="278"/>
      <c r="D101" s="278"/>
      <c r="E101" s="278"/>
      <c r="F101" s="278"/>
      <c r="G101" s="278"/>
      <c r="H101" s="278"/>
      <c r="I101" s="279"/>
      <c r="J101" s="279"/>
      <c r="K101" s="278"/>
      <c r="L101" s="280"/>
      <c r="M101" s="281"/>
      <c r="N101" s="282"/>
      <c r="O101" s="283"/>
      <c r="P101" s="283"/>
      <c r="Q101" s="283"/>
      <c r="R101" s="120">
        <f>ROUND((((R16*$B$5)+(R27*$B$17)+(R39*$B$28)+(R47*$B$40)+(R62*$B$48)+(R76*$B$63)+(R81*$B$77)+(R86*$B$82)+(R100*$B$87))/180),2)</f>
        <v>2.81</v>
      </c>
      <c r="S101" s="120">
        <f>ROUND((((S16*$B$5)+(S27*$B$17)+(S39*$B$28)+(S47*$B$40)+(S62*$B$48)+(S76*$B$63)+(S81*$B$77)+(S86*$B$82)+(S100*$B$87))/180),2)</f>
        <v>0.93</v>
      </c>
      <c r="T101" s="120">
        <f>ROUND((((T16*$B$5)+(T27*$B$17)+(T39*$B$28)+(T47*$B$40)+(T62*$B$48)+(T76*$B$63)+(T81*$B$77)+(T86*$B$82)+(T100*$B$87))/180),2)</f>
        <v>0.86</v>
      </c>
      <c r="U101" s="120">
        <f>ROUND(((SUM(U16,U27,U39,U47,U62,U76,U81,U86,U100))/9),2)</f>
        <v>4.51</v>
      </c>
      <c r="V101" s="120">
        <f>ROUND(((((V16*B5)+(V27*B17)+(V39*B28)+(V47*B41)+(V62*B48)+(V76*B63)+(V81*B77)+(V86*B82)+(V100*B87)))/180),2)</f>
        <v>4.61</v>
      </c>
    </row>
    <row r="102" spans="1:22" ht="21">
      <c r="A102" s="7"/>
      <c r="B102" s="8"/>
      <c r="C102" s="9"/>
      <c r="D102" s="9"/>
      <c r="E102" s="9"/>
      <c r="F102" s="9"/>
      <c r="G102" s="9"/>
      <c r="H102" s="9"/>
      <c r="I102" s="10"/>
      <c r="J102" s="10"/>
      <c r="K102" s="9"/>
      <c r="L102" s="9"/>
      <c r="M102" s="11"/>
      <c r="N102" s="11"/>
      <c r="O102" s="12"/>
      <c r="P102" s="12"/>
      <c r="Q102" s="12"/>
      <c r="R102" s="11"/>
      <c r="S102" s="11"/>
      <c r="T102" s="11"/>
      <c r="U102" s="11"/>
      <c r="V102" s="8"/>
    </row>
    <row r="103" ht="15">
      <c r="A103" s="153" t="s">
        <v>172</v>
      </c>
    </row>
    <row r="104" spans="1:6" ht="15">
      <c r="A104" s="152" t="s">
        <v>173</v>
      </c>
      <c r="F104" t="s">
        <v>174</v>
      </c>
    </row>
    <row r="105" spans="1:6" ht="15">
      <c r="A105" s="152" t="s">
        <v>175</v>
      </c>
      <c r="F105" t="s">
        <v>236</v>
      </c>
    </row>
    <row r="106" spans="1:6" ht="15">
      <c r="A106" s="152" t="s">
        <v>235</v>
      </c>
      <c r="F106" t="s">
        <v>176</v>
      </c>
    </row>
    <row r="107" spans="1:6" ht="15">
      <c r="A107" s="152" t="s">
        <v>177</v>
      </c>
      <c r="F107" t="s">
        <v>246</v>
      </c>
    </row>
    <row r="108" ht="15">
      <c r="A108" s="152" t="s">
        <v>237</v>
      </c>
    </row>
    <row r="109" ht="15">
      <c r="A109" s="298" t="s">
        <v>241</v>
      </c>
    </row>
    <row r="110" ht="15">
      <c r="A110" s="152" t="s">
        <v>244</v>
      </c>
    </row>
    <row r="111" spans="1:2" ht="15">
      <c r="A111" s="152" t="s">
        <v>245</v>
      </c>
      <c r="B111" s="152"/>
    </row>
    <row r="112" spans="1:2" ht="15">
      <c r="A112" s="152" t="s">
        <v>242</v>
      </c>
      <c r="B112" s="152"/>
    </row>
    <row r="113" spans="1:2" ht="15">
      <c r="A113" s="152"/>
      <c r="B113" s="152"/>
    </row>
    <row r="114" spans="1:2" ht="15">
      <c r="A114" s="152"/>
      <c r="B114" s="152"/>
    </row>
    <row r="115" spans="1:2" ht="15">
      <c r="A115" s="152"/>
      <c r="B115" s="152"/>
    </row>
    <row r="116" spans="1:2" ht="15">
      <c r="A116" s="152"/>
      <c r="B116" s="152"/>
    </row>
    <row r="117" spans="1:2" ht="15">
      <c r="A117" s="152"/>
      <c r="B117" s="152"/>
    </row>
    <row r="118" spans="1:2" ht="15">
      <c r="A118" s="152"/>
      <c r="B118" s="152"/>
    </row>
    <row r="119" spans="1:2" ht="15">
      <c r="A119" s="152"/>
      <c r="B119" s="152"/>
    </row>
  </sheetData>
  <sheetProtection selectLockedCells="1"/>
  <mergeCells count="9">
    <mergeCell ref="A2:V2"/>
    <mergeCell ref="L3:N4"/>
    <mergeCell ref="A1:V1"/>
    <mergeCell ref="C3:K3"/>
    <mergeCell ref="O3:Q3"/>
    <mergeCell ref="V3:V4"/>
    <mergeCell ref="B3:B4"/>
    <mergeCell ref="A3:A4"/>
    <mergeCell ref="R3:U3"/>
  </mergeCells>
  <printOptions/>
  <pageMargins left="0.57" right="0.17" top="0.67" bottom="0.23" header="0.29" footer="0.43"/>
  <pageSetup horizontalDpi="600" verticalDpi="600" orientation="landscape" paperSize="9" scale="69" r:id="rId2"/>
  <headerFooter alignWithMargins="0">
    <oddHeader xml:space="preserve">&amp;L&amp;G&amp;16 &amp;"Angsana New,ธรรมดา"&amp;18&amp;U&amp;X"ผลิตวิศวกรและผลงานทางวิชาการที่มีคุณภาพในระดับสากล"    </oddHeader>
    <oddFooter xml:space="preserve">&amp;R&amp;"Angsana New,ธรรมดา"&amp;14________________________________________________
คณะวิศวกรรมศาสตร์ ประจำปี การศึกษา 2549 &amp;"Arial,ธรรมดา"&amp;10
 &amp;"Angsana New,ธรรมดา"&amp;14 4-&amp;P </oddFooter>
  </headerFooter>
  <rowBreaks count="7" manualBreakCount="7">
    <brk id="16" max="255" man="1"/>
    <brk id="27" max="255" man="1"/>
    <brk id="39" max="255" man="1"/>
    <brk id="53" max="255" man="1"/>
    <brk id="65" max="255" man="1"/>
    <brk id="76" max="255" man="1"/>
    <brk id="89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ECS</dc:creator>
  <cp:keywords/>
  <dc:description/>
  <cp:lastModifiedBy>mai</cp:lastModifiedBy>
  <cp:lastPrinted>2007-09-12T09:56:54Z</cp:lastPrinted>
  <dcterms:created xsi:type="dcterms:W3CDTF">2007-06-18T07:05:03Z</dcterms:created>
  <dcterms:modified xsi:type="dcterms:W3CDTF">2007-12-19T07:36:59Z</dcterms:modified>
  <cp:category/>
  <cp:version/>
  <cp:contentType/>
  <cp:contentStatus/>
</cp:coreProperties>
</file>