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831" yWindow="65506" windowWidth="15480" windowHeight="11640" activeTab="1"/>
  </bookViews>
  <sheets>
    <sheet name="จำนวนตัวบ่งชี้" sheetId="1" r:id="rId1"/>
    <sheet name="สรุปเป้าหมาย" sheetId="2" r:id="rId2"/>
    <sheet name="คณะฯ" sheetId="3" r:id="rId3"/>
    <sheet name="EE" sheetId="4" r:id="rId4"/>
    <sheet name="ME" sheetId="5" r:id="rId5"/>
    <sheet name="CE" sheetId="6" r:id="rId6"/>
    <sheet name="IE" sheetId="7" r:id="rId7"/>
    <sheet name="ChE" sheetId="8" r:id="rId8"/>
    <sheet name="MnE" sheetId="9" r:id="rId9"/>
    <sheet name="CoE" sheetId="10" r:id="rId10"/>
    <sheet name="สนล." sheetId="11" r:id="rId11"/>
    <sheet name="ฝ่ายคอม" sheetId="12" r:id="rId12"/>
    <sheet name="ศ.พลังงาน" sheetId="13" r:id="rId13"/>
    <sheet name="ส.เทคโน" sheetId="14" r:id="rId14"/>
    <sheet name="ส.ไบโอดีเซล" sheetId="15" r:id="rId15"/>
    <sheet name="ส.วัสดุ" sheetId="16" r:id="rId16"/>
    <sheet name="ส.เครือข่าย" sheetId="17" r:id="rId17"/>
    <sheet name="MIT" sheetId="18" r:id="rId18"/>
  </sheets>
  <definedNames>
    <definedName name="_xlnm.Print_Titles" localSheetId="5">'CE'!$2:$3</definedName>
    <definedName name="_xlnm.Print_Titles" localSheetId="7">'ChE'!$2:$3</definedName>
    <definedName name="_xlnm.Print_Titles" localSheetId="9">'CoE'!$2:$3</definedName>
    <definedName name="_xlnm.Print_Titles" localSheetId="3">'EE'!$2:$3</definedName>
    <definedName name="_xlnm.Print_Titles" localSheetId="6">'IE'!$2:$3</definedName>
    <definedName name="_xlnm.Print_Titles" localSheetId="4">'ME'!$2:$3</definedName>
    <definedName name="_xlnm.Print_Titles" localSheetId="17">'MIT'!$2:$3</definedName>
    <definedName name="_xlnm.Print_Titles" localSheetId="8">'MnE'!$2:$3</definedName>
    <definedName name="_xlnm.Print_Titles" localSheetId="2">'คณะฯ'!$2:$3</definedName>
    <definedName name="_xlnm.Print_Titles" localSheetId="11">'ฝ่ายคอม'!$2:$3</definedName>
    <definedName name="_xlnm.Print_Titles" localSheetId="12">'ศ.พลังงาน'!$2:$3</definedName>
    <definedName name="_xlnm.Print_Titles" localSheetId="16">'ส.เครือข่าย'!$2:$3</definedName>
    <definedName name="_xlnm.Print_Titles" localSheetId="13">'ส.เทคโน'!$2:$3</definedName>
    <definedName name="_xlnm.Print_Titles" localSheetId="14">'ส.ไบโอดีเซล'!$2:$3</definedName>
    <definedName name="_xlnm.Print_Titles" localSheetId="15">'ส.วัสดุ'!$2:$3</definedName>
    <definedName name="_xlnm.Print_Titles" localSheetId="10">'สนล.'!$2:$3</definedName>
    <definedName name="_xlnm.Print_Titles" localSheetId="1">'สรุปเป้าหมาย'!$2:$3</definedName>
  </definedNames>
  <calcPr fullCalcOnLoad="1"/>
</workbook>
</file>

<file path=xl/comments2.xml><?xml version="1.0" encoding="utf-8"?>
<comments xmlns="http://schemas.openxmlformats.org/spreadsheetml/2006/main">
  <authors>
    <author>Psiranee</author>
  </authors>
  <commentList>
    <comment ref="F203" authorId="0">
      <text>
        <r>
          <rPr>
            <b/>
            <sz val="8"/>
            <rFont val="Tahoma"/>
            <family val="0"/>
          </rPr>
          <t>รวมสิทธิบัตรฯ  2 ชิ้นงาน</t>
        </r>
      </text>
    </comment>
    <comment ref="F205" authorId="0">
      <text>
        <r>
          <rPr>
            <b/>
            <sz val="8"/>
            <rFont val="Tahoma"/>
            <family val="2"/>
          </rPr>
          <t>รวมสิทธิบัตร 1 ชิ้นงาน</t>
        </r>
      </text>
    </comment>
    <comment ref="F208" authorId="0">
      <text>
        <r>
          <rPr>
            <b/>
            <sz val="8"/>
            <rFont val="Tahoma"/>
            <family val="2"/>
          </rPr>
          <t>รวมสิทธิบัตร 1 ชิ้นงาน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<sst xmlns="http://schemas.openxmlformats.org/spreadsheetml/2006/main" count="3805" uniqueCount="558">
  <si>
    <t>องค์ประกอบ ตัวบ่งชี้ และค่าน้ำหนัก ปีการศึกษา 2550/ปีงบประมาณ 2550 คณะวิศวกรรมศาสตร์</t>
  </si>
  <si>
    <t>องค์ประกอบและตัวบ่งชี้/หน่วยงาน</t>
  </si>
  <si>
    <t>ค่า
น้ำหนัก</t>
  </si>
  <si>
    <t>ผลการดำเนินงานประจำปี</t>
  </si>
  <si>
    <t>แผนการดำเนินงานประจำปีการศึกษา</t>
  </si>
  <si>
    <t>1. ปรัชญา  ปณิธาน  วัตถุประสงค์  และแผนดำเนินการ  (3)</t>
  </si>
  <si>
    <t xml:space="preserve">    1.1</t>
  </si>
  <si>
    <t>มีการกำหนดปรัชญาหรือปณิธาน ตลอดจนมีกระบวนการพัฒนากลยุทธ์ แผนดำเนินงานและมีการกำหนดตัวบ่งชี้เพื่อวัดความสำเร็จของการดำเนินงานตามแผนให้ครบทุกภารกิจ (ระดับ)</t>
  </si>
  <si>
    <t xml:space="preserve">    - คณะวิศวกรรมศาสตร์</t>
  </si>
  <si>
    <t xml:space="preserve">    1.2</t>
  </si>
  <si>
    <t>ร้อยละของการบรรลุเป้าหมายตามตัวบ่งชี้ของการปฏิบัติงานที่กำหนด (ร้อยละ)</t>
  </si>
  <si>
    <t xml:space="preserve">    - ภาควิชาวิศวกรรมไฟฟ้า</t>
  </si>
  <si>
    <t>85</t>
  </si>
  <si>
    <t xml:space="preserve">    - ภาควิชาวิศวกรรมเครื่องกล</t>
  </si>
  <si>
    <t>90</t>
  </si>
  <si>
    <t xml:space="preserve">    - ภาควิชาวิศวกรรมโยธา</t>
  </si>
  <si>
    <t xml:space="preserve">    - ภาควิชาวิศวกรรมอุตสาหการ</t>
  </si>
  <si>
    <t xml:space="preserve">    - ภาควิชาวิศวกรรมเคมี</t>
  </si>
  <si>
    <t xml:space="preserve">    - ภาควิชาวิศวกรรมเหมืองแร่และวัสดุ</t>
  </si>
  <si>
    <t xml:space="preserve">    - สำนักงานเลขานุการคณะฯ</t>
  </si>
  <si>
    <t xml:space="preserve">    - ฝ่ายคอมพิวเตอร์ทางวิศวกรรมศาสตร์</t>
  </si>
  <si>
    <t>-</t>
  </si>
  <si>
    <t xml:space="preserve">    - ศูนย์วิศวกรรรมพลังงาน</t>
  </si>
  <si>
    <t xml:space="preserve">    - สถานวิจัยเทคโนโลยีพลังงาน</t>
  </si>
  <si>
    <t xml:space="preserve">    - สถานวิจัยและพัฒนาพลังงานทดแทนจากน้ำมันปาล์มและพืชน้ำมัน</t>
  </si>
  <si>
    <t xml:space="preserve">    - สถานวิจัยวิศวกรรมวัสดุ</t>
  </si>
  <si>
    <t xml:space="preserve"> -</t>
  </si>
  <si>
    <t xml:space="preserve">    - สถานวิจัยเทคโนโลยีเครือข่าย</t>
  </si>
  <si>
    <t xml:space="preserve">    - หลักสูตรการจัดการเทคโนโลยีสารสนเทศ</t>
  </si>
  <si>
    <t xml:space="preserve">    1.3</t>
  </si>
  <si>
    <t>มีการกำหนดแผนกลยุทธ์ที่เชื่อมโยงกับแผนยุทธศาสตร์ชาติหรือแผนยุทธศาสตร์อุดมศึกษา (ระดับ)</t>
  </si>
  <si>
    <t>2. การเรียนการสอนและคุณภาพบัณฑิต (26)</t>
  </si>
  <si>
    <t xml:space="preserve">    2.1</t>
  </si>
  <si>
    <t>มีระบบและกลไกในการพัฒนาและบริหารหลักสูตร (ระดับ)</t>
  </si>
  <si>
    <t>7</t>
  </si>
  <si>
    <t xml:space="preserve">    - ภาควิชาวิศวกรรมคอมพิวเตอร์</t>
  </si>
  <si>
    <t xml:space="preserve">    2.2</t>
  </si>
  <si>
    <t>มีกระบวนการเรียนรู้ที่เน้นผู้เรียนเป็นสำคัญ (ระดับ)</t>
  </si>
  <si>
    <t>5</t>
  </si>
  <si>
    <t>4</t>
  </si>
  <si>
    <t xml:space="preserve">    2.3</t>
  </si>
  <si>
    <t>มีโครงการหรือกิจกรรมที่สนับสนุนการพัฒนาหลักสูตรและการเรียนการสอนซึ่งบุคคล องค์กร และชุมชนภายนอกมีส่วนร่วม (ระดับ)</t>
  </si>
  <si>
    <t xml:space="preserve">    2.4</t>
  </si>
  <si>
    <t>จำนวนนักศึกษาเต็มเวลาเทียบเท่าต่อจำนวนอาจารย์ประจำ (ร้อยละ)</t>
  </si>
  <si>
    <t>-40</t>
  </si>
  <si>
    <t>-35</t>
  </si>
  <si>
    <t xml:space="preserve">    2.5</t>
  </si>
  <si>
    <t>สัดส่วนของอาจารย์ประจำที่มีวุฒิปริญญาตรี ปริญญาโท ปริญญาเอกหรือเทียบเท่าต่ออาจารย์ประจำ (ร้อยละ)</t>
  </si>
  <si>
    <t>8-42-50</t>
  </si>
  <si>
    <t>7-45-48</t>
  </si>
  <si>
    <t>5-45-50</t>
  </si>
  <si>
    <t>5-43-52</t>
  </si>
  <si>
    <t>4-42-54</t>
  </si>
  <si>
    <t>4-41-55</t>
  </si>
  <si>
    <t>4-40-56</t>
  </si>
  <si>
    <t>4-56-40</t>
  </si>
  <si>
    <t>0-38-62</t>
  </si>
  <si>
    <t>0-40-60</t>
  </si>
  <si>
    <t>0-35-65</t>
  </si>
  <si>
    <t>0-30-70</t>
  </si>
  <si>
    <t>0-10-90</t>
  </si>
  <si>
    <t>0-17-83</t>
  </si>
  <si>
    <t>7-51-42</t>
  </si>
  <si>
    <t>3-50-47</t>
  </si>
  <si>
    <t>3-42-55</t>
  </si>
  <si>
    <t>3-39-58</t>
  </si>
  <si>
    <t>3-35-62</t>
  </si>
  <si>
    <t xml:space="preserve">    2.6</t>
  </si>
  <si>
    <t>สัดส่วนของอาจารย์ประจำที่ดำรงตำแหน่งอาจารย์ ผู้ช่วยศาสตราจารย์ รองศาสตราจารย์และศาสตราจารย์ (ร้อยละ)</t>
  </si>
  <si>
    <t>50-36-14</t>
  </si>
  <si>
    <t>45-38-17</t>
  </si>
  <si>
    <t>43-39-18</t>
  </si>
  <si>
    <t>41-40-19</t>
  </si>
  <si>
    <t>39-41-20</t>
  </si>
  <si>
    <t>37-42-21</t>
  </si>
  <si>
    <t>40-48-12</t>
  </si>
  <si>
    <t>50-30-20</t>
  </si>
  <si>
    <t>20-70-10</t>
  </si>
  <si>
    <t>33-17-50</t>
  </si>
  <si>
    <t>25-25-50</t>
  </si>
  <si>
    <t>29-29-42</t>
  </si>
  <si>
    <t>68-22-10</t>
  </si>
  <si>
    <t>64-24-12</t>
  </si>
  <si>
    <t>58-27-15</t>
  </si>
  <si>
    <t>53-29-18</t>
  </si>
  <si>
    <t xml:space="preserve">    2.7</t>
  </si>
  <si>
    <t>มีกระบวนการส่งเสริมการปฏิบัติตามจรรยาบรรณวิชาชีพของคณาจารย์ (ระดับ)</t>
  </si>
  <si>
    <t xml:space="preserve">    2.8</t>
  </si>
  <si>
    <t>มีระบบและกลไกสนับสนุนให้อาจารย์ประจำทำการวิจัยเพื่อพัฒนาการเรียนการสอน (ข้อ)</t>
  </si>
  <si>
    <t xml:space="preserve">    2.9</t>
  </si>
  <si>
    <t>ร้อยละของบัณฑิตระดับปริญญาตรีที่ได้งานทำและการประกอบอาชีพอิสระภายใน 1 ปี (ร้อยละ)</t>
  </si>
  <si>
    <t xml:space="preserve">    2.10</t>
  </si>
  <si>
    <t>ร้อยละของบัณฑิตระดับปริญญาตรีที่ได้รับเงินเดือนเริ่มต้นเป็นไปตามเกณฑ์ (ร้อยละ)</t>
  </si>
  <si>
    <t xml:space="preserve">    2.11</t>
  </si>
  <si>
    <t>ระดับความพึงพอใจของนายจ้าง ผู้ประกอบการ และผู้ใช้บัณฑิต (ระดับ (5))</t>
  </si>
  <si>
    <t xml:space="preserve">    2.12</t>
  </si>
  <si>
    <t xml:space="preserve">    2.13</t>
  </si>
  <si>
    <t>ร้อยละของหลักสูตรที่ได้มาตรฐานต่อหลักสูตรทั้งหมด (ร้อยละ)</t>
  </si>
  <si>
    <t>100</t>
  </si>
  <si>
    <t xml:space="preserve">    2.14</t>
  </si>
  <si>
    <t>ระดับความพึงพอใจของนักศึกษาต่อคุณภาพการสอนของอาจารย์และสิ่งสนับสนุนการเรียนรู้ (ระดับ (5))</t>
  </si>
  <si>
    <t>4.2</t>
  </si>
  <si>
    <t>4.0</t>
  </si>
  <si>
    <t xml:space="preserve">    2.15</t>
  </si>
  <si>
    <t>ร้อยละของบัณฑิตระดับปริญญาตรีที่ได้ทำงานตรงสาขาที่สำเร็จการศึกษา (ร้อยละ)</t>
  </si>
  <si>
    <t xml:space="preserve">    2.16</t>
  </si>
  <si>
    <t>จำนวนวิทยานิพนธ์และงานวิชาการของนักศึกษาที่ได้รับรางวัลในระดับชาติหรือระดับนานาชาติ (ชิ้นงาน)</t>
  </si>
  <si>
    <t xml:space="preserve">    2.17</t>
  </si>
  <si>
    <t>การวัดและประเมินผลการเรียนรู้ของนักศึกษา (ระดับ)</t>
  </si>
  <si>
    <t xml:space="preserve">    2.18</t>
  </si>
  <si>
    <t>ร้อยละของนักศึกษาปริญญาตรีที่สำเร็จการศึกษาตามระยะเวลาที่กำหนดไว้ในหลักสูตร (ร้อยละ)</t>
  </si>
  <si>
    <t>40</t>
  </si>
  <si>
    <t>50</t>
  </si>
  <si>
    <t>55</t>
  </si>
  <si>
    <t>52</t>
  </si>
  <si>
    <t xml:space="preserve">    2.19</t>
  </si>
  <si>
    <t>ร้อยละของอาจารย์ประจำซึ่งมีคุณสมบัติเป็นที่ปรึกษาวิทยานิพนธ์ที่ทำหน้าที่อาจารย์ที่ปรึกษาวิทยานิพนธ์ (ร้อยละ)</t>
  </si>
  <si>
    <t xml:space="preserve">    2.20</t>
  </si>
  <si>
    <t>ร้อยละของบทความจากวิทยานิพนธ์ปริญญาโทที่ตีพิมพ์ เผยแพร่ต่อจำนวนวิทยานิพนธ์ปริญญาโททั้งหมด (ร้อยละ)</t>
  </si>
  <si>
    <t>N/A</t>
  </si>
  <si>
    <t>80</t>
  </si>
  <si>
    <t xml:space="preserve">    2.21</t>
  </si>
  <si>
    <t>ร้อยละของบทความจากสารนิพนธ์ปริญญาโทที่ตีพิมพ์ เผยแพร่ต่อจำนวนสารนิพนธ์ปริญญาโททั้งหมด (ร้อยละ)</t>
  </si>
  <si>
    <t xml:space="preserve">    2.22</t>
  </si>
  <si>
    <t>ร้อยละของบทความจากวิทยานิพนธ์ปริญญาเอกที่ตีพิมพ์ เผยแพร่ต่อจำนวนวิทยานิพนธ์ปริญญาเอกทั้งหมด (ร้อยละ)</t>
  </si>
  <si>
    <t xml:space="preserve">    2.23</t>
  </si>
  <si>
    <t>ร้อยละของนักศึกษาระดับบัณฑิตศึกษาต่อจำนวนนักศึกษาทั้งหมด (ร้อยละ)</t>
  </si>
  <si>
    <t>12</t>
  </si>
  <si>
    <t>15</t>
  </si>
  <si>
    <t>18</t>
  </si>
  <si>
    <t xml:space="preserve">    2.24</t>
  </si>
  <si>
    <t>ร้อยละของนักศึกษาบัณฑิตศึกษา Research Programs ต่อจำนวนนักศึกษา บัณฑิตศึกษาทั้งหมด (ร้อยละ)</t>
  </si>
  <si>
    <t>3. กิจกรรมการพัฒนานิสิตนักศึกษา  (4)</t>
  </si>
  <si>
    <t xml:space="preserve">    3.1</t>
  </si>
  <si>
    <t>มีการจัดบริการแก่นักศึกษาและศิษย์เก่า (ระดับ)</t>
  </si>
  <si>
    <t>8</t>
  </si>
  <si>
    <t xml:space="preserve">    3.2</t>
  </si>
  <si>
    <t>มีการส่งเสริมกิจกรรมนักศึกษาที่ครบถ้วนและสอดคล้องกับคุณลักษณะของบัณฑิตที่พึงประสงค์ (ระดับ)</t>
  </si>
  <si>
    <t xml:space="preserve">    3.3</t>
  </si>
  <si>
    <t>ร้อยละของนักศึกษาที่เข้าร่วมกิจกรรม/โครงการพัฒนานักศึกษาต่อจำนวนนักศึกษาระดับปริญญาตรีทั้งหมด (ร้อยละ)</t>
  </si>
  <si>
    <t>70</t>
  </si>
  <si>
    <t xml:space="preserve">    3.4</t>
  </si>
  <si>
    <t>ประสิทธิผลของการปฏิบัติตามคุณธรรมจริยธรรม และวินัยนักศึกษา (ร้อยละ)</t>
  </si>
  <si>
    <t>4. การวิจัย (13)</t>
  </si>
  <si>
    <t xml:space="preserve">    4.1</t>
  </si>
  <si>
    <t>มีการพัฒนาระบบและกลไกในการสนับสนุนการผลิตงานวิจัยและงานสร้างสรรค์ (ข้อ)</t>
  </si>
  <si>
    <t>6</t>
  </si>
  <si>
    <t xml:space="preserve">    4.2</t>
  </si>
  <si>
    <t>มีระบบบริหารจัดการความรู้จากงานวิจัยและงานสร้างสรรค์ (ข้อ)</t>
  </si>
  <si>
    <t xml:space="preserve">    4.3</t>
  </si>
  <si>
    <t>เงินสนับสนุนงานวิจัยและงานสร้างสรรค์จากภายในและภายนอกสถาบันต่อจำนวนอาจารย์ประจำและนักวิจัย (บาท/คน)</t>
  </si>
  <si>
    <t xml:space="preserve">    4.4</t>
  </si>
  <si>
    <t>ร้อยละของงานวิจัยและงานสร้างสรรค์ที่ตีพิมพ์เผยแพร่ ได้รับการจดทะเบียนทรัพย์สินทางปัญญาหรืออนุสิทธิบัตร หรือนำไปใช้ประโยชน์ทั้งในระดับชาติและ ในระดับนานาชาติต่อจำนวนอาจารย์ประจำ (ร้อยละ)</t>
  </si>
  <si>
    <t>150</t>
  </si>
  <si>
    <t xml:space="preserve">    4.5</t>
  </si>
  <si>
    <t>เงินสนับสนุนงานวิจัยและงานสร้างสรรค์ภายในสถาบันต่อจำนวนอาจารย์ประจำและนักวิจัย (บาท/คน)</t>
  </si>
  <si>
    <t xml:space="preserve">    4.6</t>
  </si>
  <si>
    <t>เงินสนับสนุนงานวิจัยและงานสร้างสรรค์จากภายนอกสถาบันต่อจำนวนอาจารย์ประจำและนักวิจัย (บาท/คน)</t>
  </si>
  <si>
    <t xml:space="preserve">    4.7</t>
  </si>
  <si>
    <t>ร้อยละของอาจารย์ประจำและนักวิจัยได้รับทุนทำวิจัยหรืองานสร้างสรรค์จากภายในสถาบันต่อจำนวนอาจารย์ประจำและนักวิจัย (ร้อยละ)</t>
  </si>
  <si>
    <t>25</t>
  </si>
  <si>
    <t xml:space="preserve">    4.8</t>
  </si>
  <si>
    <t>ร้อยละของอาจารย์ประจำและนักวิจัยได้รับทุนทำวิจัยหรืองานสร้างสรรค์จากภายนอกสถาบันต่อจำนวนอาจารย์ประจำและนักวิจัย (ร้อยละ)</t>
  </si>
  <si>
    <t>30</t>
  </si>
  <si>
    <t>60</t>
  </si>
  <si>
    <t xml:space="preserve">    4.9</t>
  </si>
  <si>
    <t>ร้อยละของงานวิจัยที่ตีพิมพ์เผยแพร่ในวารสารระดับชาติและนานาชาติ (ร้อยละ)</t>
  </si>
  <si>
    <t>10</t>
  </si>
  <si>
    <t>1</t>
  </si>
  <si>
    <t xml:space="preserve">    4.10</t>
  </si>
  <si>
    <t>ร้อยละของอาจารย์ที่ Active งานวิจัยต่ออาจารย์ประจำและนักวิจัย* (ร้อยละ)</t>
  </si>
  <si>
    <t>75</t>
  </si>
  <si>
    <t xml:space="preserve">    4.12</t>
  </si>
  <si>
    <t>ร้อยละของบทความวิจัยที่ได้รับการอ้างอิง (Citation) ใน refereed journalหรือในฐานข้อมูลระดับชาติหรือระดับนานาชาติต่ออาจารย์ประจำและนักวิจัย (ร้อยละ)</t>
  </si>
  <si>
    <t>20</t>
  </si>
  <si>
    <t>34</t>
  </si>
  <si>
    <t>14</t>
  </si>
  <si>
    <t xml:space="preserve">    4.13</t>
  </si>
  <si>
    <t>จำนวนผลงานวิจัยและงานสร้างสรรค์ที่ได้รับการจดทะเบียนทรัพย์สินทางปัญญา(สิทธิบัตร/อนุสิทธิบัตร/ลิขสิทธิ์) ในรอบ 5 ปี ที่ผ่านมา (ชิ้นงาน)</t>
  </si>
  <si>
    <t>5. การบริการวิชาการแก่สังคม  (11)</t>
  </si>
  <si>
    <t xml:space="preserve">    5.1</t>
  </si>
  <si>
    <t>มีระบบและกลไกในการบริการทางวิชาการแก่สังคมตามเป้าหมายของสถาบัน (ระดับ)</t>
  </si>
  <si>
    <t xml:space="preserve">    5.2</t>
  </si>
  <si>
    <t>ร้อยละของอาจารย์ประจำที่มีส่วนร่วมในการให้บริการทางวิชาการแก่สังคมเป็นที่ปรึกษา เป็นกรรมการวิทยานิพนธ์ภายนอกสถาบัน เป็นกรรมการวิชาการกรรมการวิชาชีพในระดับชาติหรือระดับนานาชาติต่ออาจารย์ประจำ (ร้อยละ)</t>
  </si>
  <si>
    <t>69.23</t>
  </si>
  <si>
    <t>40.0</t>
  </si>
  <si>
    <t>29.17</t>
  </si>
  <si>
    <t>35</t>
  </si>
  <si>
    <t>71.43</t>
  </si>
  <si>
    <t xml:space="preserve">    5.3</t>
  </si>
  <si>
    <t>ร้อยละของกิจกรรมหรือโครงการบริการวิชาการและวิชาชีพที่ตอบสนองความต้องการพัฒนาและเสริมสร้างความเข้มแข็งของสังคม ชุมชน ประเทศชาติและนานาชาติต่ออาจารย์ประจำ (ร้อยละ)</t>
  </si>
  <si>
    <t xml:space="preserve">    5.4</t>
  </si>
  <si>
    <t>ร้อยละของระดับความพึงพอใจของผู้รับบริการ (ร้อยละ)</t>
  </si>
  <si>
    <t xml:space="preserve">    5.5</t>
  </si>
  <si>
    <t>ค่าใช้จ่าย และมูลค่าของสถาบันในการบริการวิชาการและวิชาชีพเพื่อสังคมต่ออาจารย์ประจำ (บาท/คน)</t>
  </si>
  <si>
    <t xml:space="preserve">    5.6</t>
  </si>
  <si>
    <t>มีการนำความรู้และประสบการณ์จากการบริการวิชาการและวิชาชีพมาใช้ในการพัฒนาการเรียนการสอนและการวิจัย (ระดับ)</t>
  </si>
  <si>
    <t xml:space="preserve">    5.7</t>
  </si>
  <si>
    <t>ร้อยละของค่าใช้จ่ายและมูลค่าที่บริการวิชาการผู้ด้อยโอกาส (ไม่รวม รพ.และรพ.ทันตกรรม) ต่องบดำเนินการทั้งหมด (ร้อยละ)</t>
  </si>
  <si>
    <t xml:space="preserve">    5.8</t>
  </si>
  <si>
    <t>การเป็นผู้ทรงคุณวุฒิพิจารณาบทความวิชาการ/เลื่อนระดับต่อบุคลากรทั้งหมด (ร้อยละ)</t>
  </si>
  <si>
    <t>6. การทำนุบำรุงศิลปวัฒนธรรม (6)</t>
  </si>
  <si>
    <t xml:space="preserve">    6.1</t>
  </si>
  <si>
    <t>มีระบบและกลไกในการทำนุบำรุงศิลปวัฒนธรรม (ระดับ)</t>
  </si>
  <si>
    <t>3</t>
  </si>
  <si>
    <t xml:space="preserve">    6.2</t>
  </si>
  <si>
    <t>ร้อยละของโครงการ/กิจกรรมในการอนุรักษ์พัฒนา และสร้างเสริมเอกลักษณ์ศิลปะและวัฒนธรรมต่อจำนวนนักศึกษาระดับปริญญาตรีภาคปกติทั้งหมด (ร้อยละ)</t>
  </si>
  <si>
    <t xml:space="preserve">    6.3</t>
  </si>
  <si>
    <t>ร้อยละของค่าใช้จ่ายและมูลค่าที่ใช้ในการอนุรักษ์ พัฒนาและสร้างเสริมเอกลักษณ์ ศิลปะและวัฒนธรรมต่องบดำเนินการ (ร้อยละ)</t>
  </si>
  <si>
    <t>7. การบริหารและการจัดการ  (14)</t>
  </si>
  <si>
    <t xml:space="preserve">    7.1</t>
  </si>
  <si>
    <t>สภาสถาบันใช้หลักธรรมาภิบาลในการบริหารจัดการและสามารถผลักดันสถาบันให้แข่งขันได้ในระดับสากล (ข้อ)</t>
  </si>
  <si>
    <t xml:space="preserve">    7.2</t>
  </si>
  <si>
    <t>ภาวะผู้นำของผู้บริหารทุกระดับของสถาบัน (ระดับ)</t>
  </si>
  <si>
    <t xml:space="preserve">    7.3</t>
  </si>
  <si>
    <t>มีการพัฒนาสถาบันสู่องค์การเรียนรู้ (ระดับ)</t>
  </si>
  <si>
    <t xml:space="preserve">    7.4</t>
  </si>
  <si>
    <t>มีระบบและกลไกในการบริหารทรัพยากรบุคคลเพื่อพัฒนา และธำรงรักษาไว้ให้บุคลากรมีคุณภาพและประสิทธิภาพ (ระดับ)</t>
  </si>
  <si>
    <t xml:space="preserve">    7.5</t>
  </si>
  <si>
    <t>ศักยภาพของระบบฐานข้อมูลเพื่อการบริหาร การเรียนการสอน และการวิจัย (ระดับ)</t>
  </si>
  <si>
    <t xml:space="preserve">    7.6</t>
  </si>
  <si>
    <t>ระดับความสำเร็จในการเปิดโอกาสให้บุคคลภายนอกเข้ามามีส่วนร่วมในการพัฒนาสถาบันอุดมศึกษา (ระดับ)</t>
  </si>
  <si>
    <t xml:space="preserve">    7.7</t>
  </si>
  <si>
    <t>ร้อยละของอาจารย์ประจำที่ได้รับรางวัลผลงานทางวิชาการหรือวิชาชีพในระดับชาติหรือนานาชาติ (ร้อยละ)</t>
  </si>
  <si>
    <t>2</t>
  </si>
  <si>
    <t xml:space="preserve">    7.8</t>
  </si>
  <si>
    <t>มีการนำระบบบริหารความเสี่ยงมาใช้ในกระบวนการบริหารการศึกษา (ระดับ)</t>
  </si>
  <si>
    <t xml:space="preserve">    7.9</t>
  </si>
  <si>
    <t>ระดับความสำเร็จของการถ่ายทอดตัวบ่งชี้และเป้าหมายของระดับองค์กรสู่ระดับบุคคล (ระดับ)</t>
  </si>
  <si>
    <t xml:space="preserve">    7.10</t>
  </si>
  <si>
    <t>ร้อยละของอาจารย์ประจำที่เข้าร่วมประชุม วิชาการหรือนำเสนอผลงานวิชาการ ทั้งในประเทศและต่างประเทศ (ร้อยละ)</t>
  </si>
  <si>
    <t xml:space="preserve">    7.11</t>
  </si>
  <si>
    <t>งบประมาณสำหรับการพัฒนาคณาจารย์ทั้งในประเทศและต่างประเทศต่ออาจารย์ประจำทั้งหมด (บาท/คน)</t>
  </si>
  <si>
    <t>15,000</t>
  </si>
  <si>
    <t xml:space="preserve">    7.12</t>
  </si>
  <si>
    <t>ร้อยละของบุคลากรประจำสายสนับสนุนที่ได้รับการพัฒนาความรู้ และทักษะในวิชาชีพทั้งในประเทศและต่างประเทศ (ร้อยละ)</t>
  </si>
  <si>
    <t xml:space="preserve">    7.13</t>
  </si>
  <si>
    <t>กิจกรรม 5 ส/กิจกรรมคุณภาพอื่น ๆ (ระดับ)</t>
  </si>
  <si>
    <t>8. การเงินและงบประมาณ  (6)</t>
  </si>
  <si>
    <t xml:space="preserve">    8.1</t>
  </si>
  <si>
    <t>มีระบบและกลไกในการจัดสรร การวิเคราะห์ค่าใช้จ่าย การตรวจสอบการเงินและงบประมาณอย่างมีประสิทธิภาพ (ระดับ)</t>
  </si>
  <si>
    <t xml:space="preserve">    8.2</t>
  </si>
  <si>
    <t>มีการใช้ทรัพยากรภายในและภายนอกสถาบันร่วมกัน (ระดับ)</t>
  </si>
  <si>
    <t xml:space="preserve">    8.3</t>
  </si>
  <si>
    <t>สินทรัพย์ถาวรต่อจำนวนนักศึกษาเต็มเวลาเทียบเท่า (บาท/คน)</t>
  </si>
  <si>
    <t xml:space="preserve">    8.4</t>
  </si>
  <si>
    <t>ค่าใช้จ่ายทั้งหมดต่อจำนวนนักศึกษาเต็มเวลาเทียบเท่า (ร้อยละ)</t>
  </si>
  <si>
    <t xml:space="preserve">    8.5</t>
  </si>
  <si>
    <t>ร้อยละของเงินเหลือจ่ายสุทธิต่องบดำเนินการ (ร้อยละ)</t>
  </si>
  <si>
    <t xml:space="preserve">    8.6</t>
  </si>
  <si>
    <t>ค่าใช้จ่ายทั้งหมดที่ใช้ในระบบห้องสมุดคอมพิวเตอร์ และศูนย์สารสนเทศต่อนักศึกษาเต็มเวลาเทียบเท่า (บาท/คน)</t>
  </si>
  <si>
    <t>9. ระบบและกลไกการประกันคุณภาพ  (5)</t>
  </si>
  <si>
    <t xml:space="preserve">    9.1</t>
  </si>
  <si>
    <t>มีระบบและกลไกการประกันคุณภาพภายในที่เป็นส่วนหนึ่งของกระบวนการบริหารการศึกษา (ระดับ)</t>
  </si>
  <si>
    <t xml:space="preserve">    9.2</t>
  </si>
  <si>
    <t>มีระบบและกลไกการให้ความรู้และทักษะด้านการประกันคุณภาพแก่นักศึกษา (ระดับ)</t>
  </si>
  <si>
    <t xml:space="preserve">    9.3</t>
  </si>
  <si>
    <t>ระดับความสำเร็จของการประกันคุณภาพการศึกษาภายใน (ระดับ)</t>
  </si>
  <si>
    <t xml:space="preserve">    9.4</t>
  </si>
  <si>
    <t>มีระบบการรวบรวมข้อมูลที่ได้รับการตรวจสอบความถูกต้องและทันเวลา (ระดับ)</t>
  </si>
  <si>
    <t>10. ความสัมพันธ์ของมหาวิทยาลัยกับ สังคมและชุมชนภาคใต้*  (2)</t>
  </si>
  <si>
    <t xml:space="preserve">    10.1</t>
  </si>
  <si>
    <t>ร้อยละของจำนวนนักศึกษาชั้นปีที่ 1 ที่เข้าร่วมโครงการพิเศษเพื่อเปิดโอกาสทางการศึกษาให้เฉพาะผู้ที่มีภูมิลำเนาน 14 จังหวัดภาคใต้ที่ขึ้นทะเบียนเป็นนักศึกษา (ร้อยละ)</t>
  </si>
  <si>
    <t xml:space="preserve">    10.2</t>
  </si>
  <si>
    <t>จำนวนโครงการที่คณะ/หน่วยงานร่วมมือกับหน่วยงานต่าง ๆ หรือกับสังคมและชุมชนเพื่อพัฒนาสังคมและชุมชนภาคใต้ (โครงการ)</t>
  </si>
  <si>
    <t>11. วิเทศสัมพันธ์*  (14)</t>
  </si>
  <si>
    <t xml:space="preserve">    11.11</t>
  </si>
  <si>
    <t>จำนวนโครงการ/กิจกรรมที่ทำร่วมกับต่างประเทศ (โครงการ)</t>
  </si>
  <si>
    <t>ร้อยละของนักศึกษาปัจจุบันและศิษย์เก่าที่สำเร็จการศึกษาในรอบ 5 ปี ที่ผ่านมาที่ได้รับการประกาศเกียรติคุณยกย่องในด้านวิชาการ วิชาชีพ คุณธรรม จริยธรรม กีฬา สุขภาพ ศิลปะและวัฒนธรรม ด้านสิ่งแวดล้อม และอื่น ๆ ที่เกี่ยวข้องกับคุณภาพบัณฑิตในระดับชาติหรือนานาชาติ (ร้อยละ)</t>
  </si>
  <si>
    <t>สรุปจำนวนตัวบ่งชี้ที่ดำเนินการ ปีการศึกษา 2550/ปีงบประมาณ 2550 คณะวิศวกรรมศาสตร์</t>
  </si>
  <si>
    <t>คณะฯ/ภาควิชา/หน่วยงาน/หลักสูตร</t>
  </si>
  <si>
    <t>รายงาน/ประเมิน</t>
  </si>
  <si>
    <t>เฉพาะรายงาน</t>
  </si>
  <si>
    <t>รวม</t>
  </si>
  <si>
    <t>คณะวิศวกรรมศาสตร์</t>
  </si>
  <si>
    <t>5-47-48</t>
  </si>
  <si>
    <t>14-67-19</t>
  </si>
  <si>
    <t>21-29-50</t>
  </si>
  <si>
    <t>4-54-42</t>
  </si>
  <si>
    <t>0-41-59</t>
  </si>
  <si>
    <t>0-42-58</t>
  </si>
  <si>
    <t>0-7-93</t>
  </si>
  <si>
    <t>0-21-79</t>
  </si>
  <si>
    <t>15-60-25</t>
  </si>
  <si>
    <t>35-54-11</t>
  </si>
  <si>
    <t>47-33-20</t>
  </si>
  <si>
    <t>41-38-21</t>
  </si>
  <si>
    <t>38-41-21</t>
  </si>
  <si>
    <t>50-33-17</t>
  </si>
  <si>
    <t>14-71-15</t>
  </si>
  <si>
    <t>43-14-43</t>
  </si>
  <si>
    <t>36-21-43</t>
  </si>
  <si>
    <t>80-15-5</t>
  </si>
  <si>
    <t>7-50-43</t>
  </si>
  <si>
    <t>องค์ประกอบและตัวบ่งชี้</t>
  </si>
  <si>
    <t>หน่วยนับ</t>
  </si>
  <si>
    <t>ค่าน้ำหนัก</t>
  </si>
  <si>
    <t>แผน/ผล</t>
  </si>
  <si>
    <t>มีการกำหนดปรัชญาหรือปณิธาน ตลอดจนมีกระบวนการพัฒนากลยุทธ์ แผนดำเนินงานและมีการกำหนดตัวบ่งชี้เพื่อวัดความสำเร็จของการดำเนินงานตามแผนให้ครบทุกภารกิจ</t>
  </si>
  <si>
    <t>ระดับ</t>
  </si>
  <si>
    <t>แผน</t>
  </si>
  <si>
    <t>ผล</t>
  </si>
  <si>
    <t>ร้อยละของการบรรลุเป้าหมายตามตัวบ่งชี้ของการปฏิบัติงานที่กำหนด</t>
  </si>
  <si>
    <t>ร้อยละ</t>
  </si>
  <si>
    <t>มีการกำหนดแผนกลยุทธ์ที่เชื่อมโยงกับแผนยุทธศาสตร์ชาติหรือแผนยุทธศาสตร์อุดมศึกษา</t>
  </si>
  <si>
    <t xml:space="preserve">    ตัวบ่งชี้ร่วม (18)</t>
  </si>
  <si>
    <t>มีระบบและกลไกในการพัฒนาและบริหารหลักสูตร</t>
  </si>
  <si>
    <t>มีกระบวนการเรียนรู้ที่เน้นผู้เรียนเป็นสำคัญ</t>
  </si>
  <si>
    <t>มีโครงการหรือกิจกรรมที่สนับสนุนการพัฒนาหลักสูตรและการเรียนการสอนซึ่งบุคคล องค์กร และชุมชนภายนอกมีส่วนร่วม</t>
  </si>
  <si>
    <t>จำนวนนักศึกษาเต็มเวลาเทียบเท่าต่อจำนวนอาจารย์ประจำ</t>
  </si>
  <si>
    <t>สัดส่วนของอาจารย์ประจำที่มีวุฒิปริญญาตรี ปริญญาโท ปริญญาเอกหรือเทียบเท่าต่ออาจารย์ประจำ</t>
  </si>
  <si>
    <t>สัดส่วนของอาจารย์ประจำที่ดำรงตำแหน่งอาจารย์ ผู้ช่วยศาสตราจารย์รองศาสตราจารย์ และศาสตราจารย์</t>
  </si>
  <si>
    <t>46-38-16</t>
  </si>
  <si>
    <t>มีกระบวนการส่งเสริมการปฏิบัติตามจรรยาบรรณวิชาชีพของคณาจารย์</t>
  </si>
  <si>
    <t>มีระบบและกลไกสนับสนุนให้อาจารย์ประจำทำการวิจัยเพื่อพัฒนาการเรียนการสอน</t>
  </si>
  <si>
    <t>ข้อ</t>
  </si>
  <si>
    <t>ร้อยละของบัณฑิตระดับปริญญาตรีที่ได้งานทำและการประกอบอาชีพอิสระภายใน 1 ปี</t>
  </si>
  <si>
    <t>ร้อยละของบัณฑิตระดับปริญญาตรีที่ได้รับเงินเดือนเริ่มต้นเป็นไปตามเกณฑ์</t>
  </si>
  <si>
    <t>ระดับความพึงพอใจของนายจ้าง ผู้ประกอบการ และผู้ใช้บัณฑิต</t>
  </si>
  <si>
    <t>ระดับ (5)</t>
  </si>
  <si>
    <t>ร้อยละของนักศึกษาปัจจุบันและศิษย์เก่าที่สำเร็จการศึกษาในรอบ 5 ปี ที่ผ่านมาที่ได้รับการประกาศเกียรติคุณยกย่องในด้านวิชาการ วิชาชีพ คุณธรรม จริยธรรม กีฬา สุขภาพ ศิลปะและวัฒนธรรม ด้านสิ่งแวดล้อม และอื่น ๆ ที่เกี่ยวข้องกับคุณภาพบัณฑิตในระดับชาติหรือนานาชาติ</t>
  </si>
  <si>
    <t>ร้อยละของหลักสูตรที่ได้มาตรฐานต่อหลักสูตรทั้งหมด</t>
  </si>
  <si>
    <t>ระดับความพึงพอใจของนักศึกษาต่อคุณภาพการสอนของอาจารย์และสิ่งสนับสนุนการเรียนรู้</t>
  </si>
  <si>
    <t>ร้อยละของบัณฑิตระดับปริญญาตรีที่ได้ทำงานตรงสาขาที่สำเร็จการศึกษา</t>
  </si>
  <si>
    <t>จำนวนวิทยานิพนธ์และงานวิชาการของนักศึกษาที่ได้รับรางวัลในระดับชาติหรือระดับนานาชาติ</t>
  </si>
  <si>
    <t>ชิ้นงาน</t>
  </si>
  <si>
    <t>การวัดและประเมินผลการเรียนรู้ของนักศึกษา</t>
  </si>
  <si>
    <t>ร้อยละของนักศึกษาปริญญาตรีที่สำเร็จการศึกษาตามระยะเวลาที่กำหนดไว้ในหลักสูตร</t>
  </si>
  <si>
    <t xml:space="preserve">    ตัวบ่งชี้เฉพาะ (8)</t>
  </si>
  <si>
    <t>ร้อยละของอาจารย์ประจำซึ่งมีคุณสมบัติเป็นที่ปรึกษาวิทยานิพนธ์ที่ทำหน้าที่อาจารย์ที่ปรึกษาวิทยานิพนธ์</t>
  </si>
  <si>
    <t>ร้อยละของบทความจากวิทยานิพนธ์ปริญญาโทที่ตีพิมพ์ เผยแพร่ต่อจำนวนวิทยานิพนธ์ปริญญาโททั้งหมด</t>
  </si>
  <si>
    <t>ร้อยละของบทความจากสารนิพนธ์ปริญญาโทที่ตีพิมพ์ เผยแพร่ต่อจำนวนสารนิพนธ์ปริญญาโททั้งหมด</t>
  </si>
  <si>
    <t>ร้อยละของบทความจากวิทยานิพนธ์ปริญญาเอกที่ตีพิมพ์ เผยแพร่ต่อจำนวนวิทยานิพนธ์ปริญญาเอกทั้งหมด</t>
  </si>
  <si>
    <t>ร้อยละของนักศึกษาระดับบัณฑิตศึกษาต่อจำนวนนักศึกษาทั้งหมด</t>
  </si>
  <si>
    <t>ร้อยละของนักศึกษาบัณฑิตศึกษา Research Programs ต่อจำนวนนักศึกษา บัณฑิตศึกษาทั้งหมด</t>
  </si>
  <si>
    <t xml:space="preserve">    2.25</t>
  </si>
  <si>
    <t>จำนวนนักศึกษาระดับปริญญาเอก</t>
  </si>
  <si>
    <t>คน</t>
  </si>
  <si>
    <t xml:space="preserve">    2.26</t>
  </si>
  <si>
    <t>ร้อยละเฉลี่ยของบัณฑิตระดับปริญญาตรีที่สอบผ่านใบประกอบวิชาชีพต่อจำนวนผู้เข้าสอบทั้งหมด</t>
  </si>
  <si>
    <t>มีการจัดบริการแก่นักศึกษาและศิษย์เก่า</t>
  </si>
  <si>
    <t>มีการส่งเสริมกิจกรรมนักศึกษาที่ครบถ้วนและสอดคล้องกับคุณลักษณะของบัณฑิตที่พึงประสงค์</t>
  </si>
  <si>
    <t>ร้อยละของนักศึกษาที่เข้าร่วมกิจกรรม/โครงการพัฒนานักศึกษาต่อจำนวนนักศึกษาระดับปริญญาตรีทั้งหมด</t>
  </si>
  <si>
    <t>ประสิทธิผลของการปฏิบัติตามคุณธรรมจริยธรรม และวินัยนักศึกษา</t>
  </si>
  <si>
    <t xml:space="preserve">    ตัวบ่งชี้ร่วม (11)</t>
  </si>
  <si>
    <t>มีการพัฒนาระบบและกลไกในการสนับสนุนการผลิตงานวิจัยและงานสร้างสรรค์</t>
  </si>
  <si>
    <t>มีระบบบริหารจัดการความรู้จากงานวิจัยและงานสร้างสรรค์</t>
  </si>
  <si>
    <t>เงินสนับสนุนงานวิจัยและงานสร้างสรรค์จากภายในและภายนอกสถาบันต่อจำนวนอาจารย์ประจำและนักวิจัย</t>
  </si>
  <si>
    <t>บาท/คน</t>
  </si>
  <si>
    <t>ร้อยละของงานวิจัยและงานสร้างสรรค์ที่ตีพิมพ์เผยแพร่ ได้รับการจดทะเบียนทรัพย์สินทางปัญญาหรืออนุสิทธิบัตร หรือนำไปใช้ประโยชน์ทั้งในระดับชาติและ ในระดับนานาชาติต่อจำนวนอาจารย์ประจำ</t>
  </si>
  <si>
    <t>เงินสนับสนุนงานวิจัยและงานสร้างสรรค์ภายในสถาบันต่อจำนวนอาจารย์ประจำและนักวิจัย</t>
  </si>
  <si>
    <t>เงินสนับสนุนงานวิจัยและงานสร้างสรรค์จากภายนอกสถาบันต่อจำนวนอาจารย์ประจำและนักวิจัย</t>
  </si>
  <si>
    <t>ร้อยละของอาจารย์ประจำและนักวิจัยได้รับทุนทำวิจัยหรืองานสร้างสรรค์จากภายในสถาบันต่อจำนวนอาจารย์ประจำและนักวิจัย</t>
  </si>
  <si>
    <t>ร้อยละของอาจารย์ประจำและนักวิจัยได้รับทุนทำวิจัยหรืองานสร้างสรรค์จากภายนอกสถาบันต่อจำนวนอาจารย์ประจำและนักวิจัย</t>
  </si>
  <si>
    <t>ร้อยละของงานวิจัยที่ตีพิมพ์เผยแพร่ในวารสารระดับชาติและนานาชาติ</t>
  </si>
  <si>
    <t>ร้อยละของอาจารย์ที่ Active งานวิจัยต่ออาจารย์ประจำและนักวิจัย*</t>
  </si>
  <si>
    <t xml:space="preserve">    4.11</t>
  </si>
  <si>
    <t>จำนวนโครงการวิจัยและจำนวนเงินที่เบิกจ่ายจากเงินสะสมของกองทุนวิจัย</t>
  </si>
  <si>
    <t>โครงการ/วงเงิน</t>
  </si>
  <si>
    <t xml:space="preserve">    ตัวบ่งชี้เฉพาะ (2)</t>
  </si>
  <si>
    <t>ร้อยละของบทความวิจัยที่ได้รับการอ้างอิง (Citation) ใน refereed journalหรือในฐานข้อมูลระดับชาติหรือระดับนานาชาติต่ออาจารย์ประจำและนักวิจัย</t>
  </si>
  <si>
    <t>จำนวนผลงานวิจัยและงานสร้างสรรค์ที่ได้รับการจดทะเบียนทรัพย์สินทางปัญญา(สิทธิบัตร/อนุสิทธิบัตร/ลิขสิทธิ์) ในรอบ 5 ปี ที่ผ่านมา</t>
  </si>
  <si>
    <t>มีระบบและกลไกในการบริการทางวิชาการแก่สังคมตามเป้าหมายของสถาบัน</t>
  </si>
  <si>
    <t>ร้อยละของอาจารย์ประจำที่มีส่วนร่วมในการให้บริการทางวิชาการแก่สังคมเป็นที่ปรึกษา เป็นกรรมการวิทยานิพนธ์ภายนอกสถาบัน เป็นกรรมการวิชาการกรรมการวิชาชีพในระดับชาติหรือระดับนานาชาติต่ออาจารย์ประจำ</t>
  </si>
  <si>
    <t>ร้อยละของกิจกรรมหรือโครงการบริการวิชาการและวิชาชีพที่ตอบสนองความต้องการพัฒนาและเสริมสร้างความเข้มแข็งของสังคม ชุมชน ประเทศชาติและนานาชาติต่ออาจารย์ประจำ</t>
  </si>
  <si>
    <t>ร้อยละของระดับความพึงพอใจของผู้รับบริการ</t>
  </si>
  <si>
    <t>ค่าใช้จ่าย และมูลค่าของสถาบันในการบริการวิชาการและวิชาชีพเพื่อสังคมต่ออาจารย์ประจำ</t>
  </si>
  <si>
    <t>มีการนำความรู้และประสบการณ์จากการบริการวิชาการและวิชาชีพมาใช้ในการพัฒนาการเรียนการสอนและการวิจัย</t>
  </si>
  <si>
    <t>ร้อยละของค่าใช้จ่ายและมูลค่าที่บริการวิชาการผู้ด้อยโอกาส (ไม่รวม รพ.และรพ.ทันตกรรม) ต่องบดำเนินการทั้งหมด</t>
  </si>
  <si>
    <t>การเป็นผู้ทรงคุณวุฒิพิจารณาบทความวิชาการ/เลื่อนระดับต่อบุคลากรทั้งหมด</t>
  </si>
  <si>
    <t xml:space="preserve">    5.9</t>
  </si>
  <si>
    <t xml:space="preserve"> จำนวนแหล่งให้บริการวิชาการและวิชาชีพที่ได้รับการยอมรับในระดับชาติหรือระดับนานาชาติ</t>
  </si>
  <si>
    <t>ศูนย์/เครือข่าย</t>
  </si>
  <si>
    <t xml:space="preserve">    5.10</t>
  </si>
  <si>
    <t>รายรับของสถาบันในการให้บริการวิชาการและวิชาชีพในนามสถาบันต่ออาจารย์ประจำ</t>
  </si>
  <si>
    <t xml:space="preserve">    5.11</t>
  </si>
  <si>
    <t>ระดับความสำเร็จในการให้บริการวิชาการและวิชาชีพตามพันธกิจของสถาบัน</t>
  </si>
  <si>
    <t>มีระบบและกลไกในการทำนุบำรุงศิลปวัฒนธรรม</t>
  </si>
  <si>
    <t>ร้อยละของโครงการ/กิจกรรมในการอนุรักษ์พัฒนา และสร้างเสริมเอกลักษณ์ศิลปะและวัฒนธรรมต่อจำนวนนักศึกษาระดับปริญญาตรีภาคปกติทั้งหมด</t>
  </si>
  <si>
    <t>ร้อยละของค่าใช้จ่ายและมูลค่าที่ใช้ในการอนุรักษ์ พัฒนาและสร้างเสริมเอกลักษณ์ ศิลปะและวัฒนธรรมต่องบดำเนินการ</t>
  </si>
  <si>
    <t xml:space="preserve">    6.4</t>
  </si>
  <si>
    <t>มีผลงาน หรือชิ้นงานการพัฒนาองค์ความรู้ และสร้างมาตรฐานศิลปวัฒนธรรม</t>
  </si>
  <si>
    <t>ชิ้น</t>
  </si>
  <si>
    <t xml:space="preserve">    6.5</t>
  </si>
  <si>
    <t>ประสิทธิผลในการอนุรักษ์ พัฒนาและสร้างเสริมเอกลักษณ์ ศิลปวัฒนธรรม</t>
  </si>
  <si>
    <t xml:space="preserve">    6.6</t>
  </si>
  <si>
    <t>จำนวนวิทยานิพนธ์ด้านวัฒนธรรม</t>
  </si>
  <si>
    <t>เรื่อง</t>
  </si>
  <si>
    <t>สภาสถาบันใช้หลักธรรมาภิบาลในการบริหารจัดการและสามารถผลักดันสถาบันให้แข่งขันได้ในระดับสากล</t>
  </si>
  <si>
    <t>ภาวะผู้นำของผู้บริหารทุกระดับของสถาบัน</t>
  </si>
  <si>
    <t>มีการพัฒนาสถาบันสู่องค์การเรียนรู้</t>
  </si>
  <si>
    <t>มีระบบและกลไกในการบริหารทรัพยากรบุคคลเพื่อพัฒนา และธำรงรักษาไว้ให้บุคลากรมีคุณภาพและประสิทธิภาพ</t>
  </si>
  <si>
    <t>ศักยภาพของระบบฐานข้อมูลเพื่อการบริหาร การเรียนการสอน และการวิจัย</t>
  </si>
  <si>
    <t>ระดับความสำเร็จในการเปิดโอกาสให้บุคคลภายนอกเข้ามามีส่วนร่วมในการพัฒนาสถาบันอุดมศึกษา</t>
  </si>
  <si>
    <t>ร้อยละของอาจารย์ประจำที่ได้รับรางวัลผลงานทางวิชาการหรือวิชาชีพในระดับชาติหรือนานาชาติ</t>
  </si>
  <si>
    <t>มีการนำระบบบริหารความเสี่ยงมาใช้ในกระบวนการบริหารการศึกษา</t>
  </si>
  <si>
    <t>ระดับความสำเร็จของการถ่ายทอดตัวบ่งชี้และเป้าหมายของระดับองค์กรสู่ระดับบุคคล</t>
  </si>
  <si>
    <t>ร้อยละของอาจารย์ประจำที่เข้าร่วมประชุม วิชาการหรือนำเสนอผลงานวิชาการ ทั้งในประเทศและต่างประเทศ</t>
  </si>
  <si>
    <t>งบประมาณสำหรับการพัฒนาคณาจารย์ทั้งในประเทศและต่างประเทศต่ออาจารย์ประจำทั้งหมด</t>
  </si>
  <si>
    <t>ร้อยละของบุคลากรประจำสายสนับสนุนที่ได้รับการพัฒนาความรู้ และทักษะในวิชาชีพทั้งในประเทศและต่างประเทศ</t>
  </si>
  <si>
    <t>กิจกรรม 5 ส/กิจกรรมคุณภาพอื่น ๆ</t>
  </si>
  <si>
    <t xml:space="preserve">    7.14</t>
  </si>
  <si>
    <t>จำนวนครั้งความไม่ปลอดภัยในชีวิตและทรัพย์สิน (ภายในมหาวิทยาลัย)</t>
  </si>
  <si>
    <t>ครั้ง</t>
  </si>
  <si>
    <t>มีระบบและกลไกในการจัดสรร การวิเคราะห์ค่าใช้จ่าย การตรวจสอบการเงินและงบประมาณอย่างมีประสิทธิภาพ</t>
  </si>
  <si>
    <t>มีการใช้ทรัพยากรภายในและภายนอกสถาบันร่วมกัน</t>
  </si>
  <si>
    <t>สินทรัพย์ถาวรต่อจำนวนนักศึกษาเต็มเวลาเทียบเท่า</t>
  </si>
  <si>
    <t>ค่าใช้จ่ายทั้งหมดต่อจำนวนนักศึกษาเต็มเวลาเทียบเท่า</t>
  </si>
  <si>
    <t>ร้อยละของเงินเหลือจ่ายสุทธิต่องบดำเนินการ</t>
  </si>
  <si>
    <t>ค่าใช้จ่ายทั้งหมดที่ใช้ในระบบห้องสมุดคอมพิวเตอร์ และศูนย์สารสนเทศต่อนักศึกษาเต็มเวลาเทียบเท่า</t>
  </si>
  <si>
    <t>มีระบบและกลไกการประกันคุณภาพภายในที่เป็นส่วนหนึ่งของกระบวนการบริหารการศึกษา</t>
  </si>
  <si>
    <t>มีระบบและกลไกการให้ความรู้และทักษะด้านการประกันคุณภาพแก่นักศึกษา</t>
  </si>
  <si>
    <t>ระดับความสำเร็จของการประกันคุณภาพการศึกษาภายใน</t>
  </si>
  <si>
    <t>มีระบบการรวบรวมข้อมูลที่ได้รับการตรวจสอบความถูกต้องและทันเวลา</t>
  </si>
  <si>
    <t xml:space="preserve">    9.5</t>
  </si>
  <si>
    <t>ประสิทธิผลการประกันคุณภาพโดยระบบอื่น</t>
  </si>
  <si>
    <t>ร้อยละของจำนวนนักศึกษาชั้นปีที่ 1 ที่เข้าร่วมโครงการพิเศษเพื่อเปิดโอกาสทางการศึกษาให้เฉพาะผู้ที่มีภูมิลำเนาน 14 จังหวัดภาคใต้ที่ขึ้นทะเบียนเป็นนักศึกษา</t>
  </si>
  <si>
    <t>จำนวนโครงการที่คณะ/หน่วยงานร่วมมือกับหน่วยงานต่าง ๆ หรือกับสังคมและชุมชนเพื่อพัฒนาสังคมและชุมชนภาคใต้</t>
  </si>
  <si>
    <t>โครงการ</t>
  </si>
  <si>
    <t xml:space="preserve">    11.1</t>
  </si>
  <si>
    <t>ร้อยละของรายวิชาที่สอนเป็นภาษาอังกฤษหรือภาษาต่างประเทศอื่น ๆ</t>
  </si>
  <si>
    <t xml:space="preserve">    11.2</t>
  </si>
  <si>
    <t>จำนวนหลักสูตร Bilingual</t>
  </si>
  <si>
    <t>หลักสูตร</t>
  </si>
  <si>
    <t xml:space="preserve">    11.3</t>
  </si>
  <si>
    <t>จำนวนหลักสูตรที่สอนเป็นภาษาอังกฤษ/International Programs</t>
  </si>
  <si>
    <t xml:space="preserve">    11.4</t>
  </si>
  <si>
    <t>จำนวน Joint-degree Programs</t>
  </si>
  <si>
    <t xml:space="preserve">    11.5</t>
  </si>
  <si>
    <t>จำนวนชาวต่างประเทศที่มาเยือนหรือปฏิบัติงานที่มหาวิทยาลัย</t>
  </si>
  <si>
    <t xml:space="preserve">    11.6</t>
  </si>
  <si>
    <t>จำนวนนักศึกษาชาวต่างประเทศที่มาฝึกงานทำวิจัย และศึกษาที่มหาวิทยาลัย ในทุกลักษณะ</t>
  </si>
  <si>
    <t xml:space="preserve">    11.7</t>
  </si>
  <si>
    <t>จำนวน Co-advisors ที่เป็นชาวต่างประเทศ</t>
  </si>
  <si>
    <t xml:space="preserve">    11.8</t>
  </si>
  <si>
    <t>จำนวนบุคลากร/นักศึกษาของมหาวิทยาลัยที่ไปต่างประเทศ</t>
  </si>
  <si>
    <t>คน-ครั้ง</t>
  </si>
  <si>
    <t xml:space="preserve">    11.9</t>
  </si>
  <si>
    <t>จำนวนบุคลากรของมหาวิทยาลัยที่เป็นAdvisors/Co-advisors ให้สถาบันในต่างประเทศ</t>
  </si>
  <si>
    <t xml:space="preserve">    11.10</t>
  </si>
  <si>
    <t>จำนวนโครงการวิจัยที่ทำร่วมกับชาวต่างประเทศ (Joint Research)</t>
  </si>
  <si>
    <t>จำนวนโครงการ/กิจกรรมที่ทำร่วมกับต่างประเทศ</t>
  </si>
  <si>
    <t xml:space="preserve">    11.12</t>
  </si>
  <si>
    <t>จำนวนโครงการและผู้เข้าร่วมโครงการพัฒนาสมรรถนะสากลของนักศึกษาและบุคลากร (ด้านภาษาต่างประเทศ)</t>
  </si>
  <si>
    <t xml:space="preserve">    11.13</t>
  </si>
  <si>
    <t>จำนวน Joint Publication</t>
  </si>
  <si>
    <t xml:space="preserve">    11.14</t>
  </si>
  <si>
    <t>จำนวนนักศึกษาที่ไปทำวิทยานิพนธ์ (Thesis) ต่างประเทศ</t>
  </si>
  <si>
    <t>อธิบายสัญลักษณ์</t>
  </si>
  <si>
    <t xml:space="preserve">* </t>
  </si>
  <si>
    <t>หมายถึง องค์ประกอบ/ตัวบ่งชี้ที่เป็นเอกลักษณ์เฉพาะของมหาวิทยาลัย</t>
  </si>
  <si>
    <t xml:space="preserve">** </t>
  </si>
  <si>
    <t>หมายถึง ตัวบ่งชี้ที่สอดคล้องกันระหว่าง สกอ. และสมศ.</t>
  </si>
  <si>
    <t xml:space="preserve">*** </t>
  </si>
  <si>
    <t>หมายถึง ตัวบ่งชี้ที่กำหนดโดย สกอ.</t>
  </si>
  <si>
    <t xml:space="preserve">**** </t>
  </si>
  <si>
    <t>หมายถึง ตัวบ่งชี้ของ สมศ.</t>
  </si>
  <si>
    <t>องค์ประกอบ ตัวบ่งชี้ และค่าน้ำหนัก ปีการศึกษา 2550/ปีงบประมาณ 2550 ภาควิชาวิศวกรรมไฟฟ้า (แก้ไข 8  กพ  51 โดย. หัวหน้าภาควิชาฯ)</t>
  </si>
  <si>
    <t>ร้อยละของการบรรลุเป้าหมายตามตัวบ่งชี้ของการปฏิบัติงานที่กำหนด***</t>
  </si>
  <si>
    <t>มีระบบและกลไกในการพัฒนาและบริหารหลักสูตร***</t>
  </si>
  <si>
    <t>มีกระบวนการเรียนรู้ที่เน้นผู้เรียนเป็นสำคัญ**</t>
  </si>
  <si>
    <t>จำนวนนักศึกษาเต็มเวลาเทียบเท่าต่อจำนวนอาจารย์ประจำ**</t>
  </si>
  <si>
    <t>สัดส่วนของอาจารย์ประจำที่มีวุฒิปริญญาตรี ปริญญาโท ปริญญาเอกหรือเทียบเท่าต่ออาจารย์ประจำ**</t>
  </si>
  <si>
    <t>สัดส่วนของอาจารย์ประจำที่ดำรงตำแหน่งอาจารย์ ผู้ช่วยศาสตราจารย์รองศาสตราจารย์ และศาสตราจารย์**</t>
  </si>
  <si>
    <t>มีระบบและกลไกสนับสนุนให้อาจารย์ประจำทำการวิจัยเพื่อพัฒนาการเรียนการสอน***</t>
  </si>
  <si>
    <t>ร้อยละของหลักสูตรที่ได้มาตรฐานต่อหลักสูตรทั้งหมด**</t>
  </si>
  <si>
    <t>ระดับความพึงพอใจของนักศึกษาต่อคุณภาพการสอนของอาจารย์และสิ่งสนับสนุนการเรียนรู้**</t>
  </si>
  <si>
    <t>จำนวนวิทยานิพนธ์และงานวิชาการของนักศึกษาที่ได้รับรางวัลในระดับชาติหรือระดับนานาชาติ (ชิ้นงาน)****</t>
  </si>
  <si>
    <t>ร้อยละของนักศึกษาปริญญาตรีที่สำเร็จการศึกษาตามระยะเวลาที่กำหนดไว้ในหลักสูตร*</t>
  </si>
  <si>
    <t xml:space="preserve">ร้อยละของอาจารย์ประจำซึ่งมีคุณสมบัติเป็นที่ปรึกษาวิทยานิพนธ์ที่ทำหน้าที่อาจารย์ที่ปรึกษาวิทยานิพนธ์*** </t>
  </si>
  <si>
    <t>ร้อยละของบทความจากวิทยานิพนธ์ปริญญาโทที่ตีพิมพ์ เผยแพร่ต่อจำนวนวิทยานิพนธ์ปริญญาโททั้งหมด****</t>
  </si>
  <si>
    <t>ร้อยละของบทความจากวิทยานิพนธ์ปริญญาเอกที่ตีพิมพ์ เผยแพร่ต่อจำนวนวิทยานิพนธ์ปริญญาเอกทั้งหมด****</t>
  </si>
  <si>
    <t>ร้อยละของนักศึกษาระดับบัณฑิตศึกษาต่อจำนวนนักศึกษาทั้งหมด*</t>
  </si>
  <si>
    <t>ร้อยละของนักศึกษาบัณฑิตศึกษา Research Programs ต่อจำนวนนักศึกษา บัณฑิตศึกษาทั้งหมด*</t>
  </si>
  <si>
    <t>จำนวนนักศึกษาระดับปริญญาเอก*</t>
  </si>
  <si>
    <t>ร้อยละของนักศึกษาที่เข้าร่วมกิจกรรม/โครงการพัฒนานักศึกษาต่อจำนวนนักศึกษาระดับปริญญาตรีทั้งหมด****</t>
  </si>
  <si>
    <t>ประสิทธิผลของการปฏิบัติตามคุณธรรมจริยธรรม และวินัยนักศึกษา*</t>
  </si>
  <si>
    <t>เงินสนับสนุนงานวิจัยและงานสร้างสรรค์จากภายในและภายนอกสถาบันต่อจำนวนอาจารย์ประจำและนักวิจัย**</t>
  </si>
  <si>
    <t>ร้อยละของงานวิจัยและงานสร้างสรรค์ที่ตีพิมพ์เผยแพร่ ได้รับการจดทะเบียนทรัพย์สินทางปัญญาหรืออนุสิทธิบัตร หรือนำไปใช้ประโยชน์ทั้งในระดับชาติและ ในระดับนานาชาติต่อจำนวนอาจารย์ประจำ**</t>
  </si>
  <si>
    <t>เงินสนับสนุนงานวิจัยและงานสร้างสรรค์ภายในสถาบันต่อจำนวนอาจารย์ประจำและนักวิจัย (บาทต่อคน)****</t>
  </si>
  <si>
    <t>เงินสนับสนุนงานวิจัยและงานสร้างสรรค์จากภายนอกสถาบันต่อจำนวนอาจารย์ประจำและนักวิจัย (บาทต่อคน)****</t>
  </si>
  <si>
    <t>ร้อยละของอาจารย์ประจำและนักวิจัยได้รับทุนทำวิจัยหรืองานสร้างสรรค์จากภายในสถาบันต่อจำนวนอาจารย์ประจำและนักวิจัย****</t>
  </si>
  <si>
    <t>ร้อยละของอาจารย์ประจำและนักวิจัยได้รับทุนทำวิจัยหรืองานสร้างสรรค์จากภายนอกสถาบันต่อจำนวนอาจารย์ประจำและนักวิจัย****</t>
  </si>
  <si>
    <t>ร้อยละของงานวิจัยที่ตีพิมพ์เผยแพร่ในวารสารระดับชาติและนานาชาติ*</t>
  </si>
  <si>
    <t xml:space="preserve">ร้อยละของบทความวิจัยที่ได้รับการอ้างอิง (Citation) ใน refereed journalหรือในฐานข้อมูลระดับชาติหรือระดับนานาชาติต่ออาจารย์ประจำและนักวิจัย** </t>
  </si>
  <si>
    <t>ร้อยละของอาจารย์ประจำที่มีส่วนร่วมในการให้บริการทางวิชาการแก่สังคมเป็นที่ปรึกษา เป็นกรรมการวิทยานิพนธ์ภายนอกสถาบัน เป็นกรรมการวิชาการกรรมการวิชาชีพในระดับชาติหรือระดับนานาชาติต่ออาจารย์ประจำ**</t>
  </si>
  <si>
    <t>ร้อยละของกิจกรรมหรือโครงการบริการวิชาการและวิชาชีพที่ตอบสนองความต้องการพัฒนาและเสริมสร้างความเข้มแข็งของสังคม ชุมชน ประเทศชาติและนานาชาติต่ออาจารย์ประจำ**</t>
  </si>
  <si>
    <t>ร้อยละของระดับความพึงพอใจของผู้รับบริการ***</t>
  </si>
  <si>
    <t>การเป็นผู้ทรงคุณวุฒิพิจารณาบทความวิชาการ/เลื่อนระดับต่อบุคลากรทั้งหมด*</t>
  </si>
  <si>
    <t>สภาสถาบันใช้หลักธรรมาภิบาลในการบริหารจัดการและสามารถผลักดันสถาบันให้แข่งขันได้ในระดับสากล**</t>
  </si>
  <si>
    <t>ภาวะผู้นำของผู้บริหารทุกระดับของสถาบัน***</t>
  </si>
  <si>
    <t>มีระบบและกลไกในการบริหารทรัพยากรบุคคลเพื่อพัฒนา และธำรงรักษาไว้ให้บุคลากรมีคุณภาพและประสิทธิภาพ***</t>
  </si>
  <si>
    <t>มีการนำระบบบริหารความเสี่ยงมาใช้ในกระบวนการบริหารการศึกษา***</t>
  </si>
  <si>
    <t>ร้อยละของอาจารย์ประจำที่เข้าร่วมประชุม วิชาการหรือนำเสนอผลงานวิชาการ ทั้งในประเทศและต่างประเทศ****</t>
  </si>
  <si>
    <t>งบประมาณสำหรับการพัฒนาคณาจารย์ทั้งในประเทศและต่างประเทศต่ออาจารย์ประจำทั้งหมด (บาทต่อคน)****</t>
  </si>
  <si>
    <t>ร้อยละของบุคลากรประจำสายสนับสนุนที่ได้รับการพัฒนาความรู้ และทักษะในวิชาชีพทั้งในประเทศและต่างประเทศ****</t>
  </si>
  <si>
    <t>กิจกรรม 5 ส/กิจกรรมคุณภาพอื่น ๆ*</t>
  </si>
  <si>
    <t>จำนวนครั้งความไม่ปลอดภัยในชีวิตและทรัพย์สิน (ภายในมหาวิทยาลัย)*  (รายงาน)</t>
  </si>
  <si>
    <t>มีระบบการรวบรวมข้อมูลที่ได้รับการตรวจสอบความถูกต้องและทันเวลา* (รายงาน)</t>
  </si>
  <si>
    <t>องค์ประกอบ ตัวบ่งชี้ และค่าน้ำหนัก ปีการศึกษา 2550/ปีงบประมาณ 2550 ภาควิชาวิศวกรรมเครื่องกล</t>
  </si>
  <si>
    <t>จำนวนครั้งความไม่ปลอดภัยในชีวิตและทรัพย์สิน (ภายในมหาวิทยาลัย)*</t>
  </si>
  <si>
    <t>มีระบบการรวบรวมข้อมูลที่ได้รับการตรวจสอบความถูกต้องและทันเวลา*</t>
  </si>
  <si>
    <t>องค์ประกอบ ตัวบ่งชี้ และค่าน้ำหนัก ปีการศึกษา 2550/ปีงบประมาณ 2550 ภาควิชาวิศวกรรมโยธา</t>
  </si>
  <si>
    <t>องค์ประกอบ ตัวบ่งชี้ และค่าน้ำหนัก ปีการศึกษา 2550/ปีงบประมาณ 2550 ภาควิชาวิศวกรรมอุตสาหการ</t>
  </si>
  <si>
    <t>ร้อยละของบทความจากสารนิพนธ์ปริญญาโทที่ตีพิมพ์ เผยแพร่ต่อจำนวนสารนิพนธ์ปริญญาโททั้งหมด****</t>
  </si>
  <si>
    <t>องค์ประกอบ ตัวบ่งชี้ และค่าน้ำหนัก ปีการศึกษา 2550/ปีงบประมาณ 2550 ภาควิชาวิศวกรรมเคมี</t>
  </si>
  <si>
    <t>องค์ประกอบ ตัวบ่งชี้ และค่าน้ำหนัก ปีการศึกษา 2550/ปีงบประมาณ 2550 ภาควิชาวิศวกรรมเหมืองแร่และวัสดุ</t>
  </si>
  <si>
    <t>องค์ประกอบ ตัวบ่งชี้ และค่าน้ำหนัก ปีการศึกษา 2550/ปีงบประมาณ 2550 ภาควิชาวิศวกรรมคอมพิวเตอร์</t>
  </si>
  <si>
    <t>องค์ประกอบ ตัวบ่งชี้ และค่าน้ำหนัก ปีการศึกษา 2550/ปีงบประมาณ 2550 สำนักงานเลขานุการคณะฯ</t>
  </si>
  <si>
    <t>องค์ประกอบ ตัวบ่งชี้ และค่าน้ำหนัก ปีการศึกษา 2550/ปีงบประมาณ 2550 ฝ่ายคอมพิวเตอร์ทางวิศวกรรมศาสตร์</t>
  </si>
  <si>
    <t>องค์ประกอบ ตัวบ่งชี้ และค่าน้ำหนัก ปีการศึกษา 2550/ปีงบประมาณ 2550 ศูนย์วิศวกรรรมพลังงาน</t>
  </si>
  <si>
    <t>องค์ประกอบ ตัวบ่งชี้ และค่าน้ำหนัก ปีการศึกษา 2551/ปีงบประมาณ 2551 สถานวิจัยเทคโนโลยีพลังงาน</t>
  </si>
  <si>
    <t>องค์ประกอบ ตัวบ่งชี้ และค่าน้ำหนัก ปีการศึกษา 2550/ปีงบประมาณ 2550 สถานวิจัยและพัฒนาพลังงานทดแทนจากน้ำมันปาล์มและพืชน้ำมัน</t>
  </si>
  <si>
    <t>องค์ประกอบ ตัวบ่งชี้ และค่าน้ำหนัก ปีการศึกษา 2550/ปีงบประมาณ 2550 สถานวิจัยวิศวกรรมวัสดุ</t>
  </si>
  <si>
    <t>องค์ประกอบ ตัวบ่งชี้ และค่าน้ำหนัก ปีการศึกษา 2550/ปีงบประมาณ 2550 สถานวิจัยเทคโนโลยีเครือข่าย</t>
  </si>
  <si>
    <t>องค์ประกอบ ตัวบ่งชี้ และค่าน้ำหนัก ปีการศึกษา 2550/ปีงบประมาณ 2550 หลักสูตรการจัดการเทคโนโลยีสารสนเทศ</t>
  </si>
  <si>
    <t>ขอปรับตัวเลขปี 2550 เป็น -15 = 17:1</t>
  </si>
  <si>
    <t>14-22-64</t>
  </si>
  <si>
    <t>4-50-46</t>
  </si>
  <si>
    <t>7-41-52</t>
  </si>
  <si>
    <t>0-44-56</t>
  </si>
  <si>
    <t>4-46-50</t>
  </si>
  <si>
    <t>0-12-88</t>
  </si>
  <si>
    <t>18-15-67</t>
  </si>
  <si>
    <t>19-57-24</t>
  </si>
  <si>
    <t>46-46-8</t>
  </si>
  <si>
    <t>48-30-22</t>
  </si>
  <si>
    <t>47-40-13</t>
  </si>
  <si>
    <t>34-58-8</t>
  </si>
  <si>
    <t>31-50-19</t>
  </si>
  <si>
    <t>41-15-44</t>
  </si>
  <si>
    <t>78-19-3</t>
  </si>
  <si>
    <t>10-45-45</t>
  </si>
  <si>
    <t>4-52-44</t>
  </si>
  <si>
    <t>0-46-54</t>
  </si>
  <si>
    <t>8-46-46</t>
  </si>
  <si>
    <t>0-19-81</t>
  </si>
  <si>
    <t>23-15-62</t>
  </si>
  <si>
    <t>25-56-19</t>
  </si>
  <si>
    <t>54-35-11</t>
  </si>
  <si>
    <t>44-52-4</t>
  </si>
  <si>
    <t>54-33-13</t>
  </si>
  <si>
    <t>43-44-13</t>
  </si>
  <si>
    <t>54-0-46</t>
  </si>
  <si>
    <t>80-17-3</t>
  </si>
  <si>
    <t>ภาควิชายืนยันเป้าหมายเดิม</t>
  </si>
  <si>
    <t>47-33-21</t>
  </si>
  <si>
    <t>47-33-22</t>
  </si>
  <si>
    <t>45</t>
  </si>
  <si>
    <t>110</t>
  </si>
  <si>
    <t>5-52-43</t>
  </si>
  <si>
    <t>5-50-45</t>
  </si>
  <si>
    <t>15-70-15</t>
  </si>
  <si>
    <t>6-72-22</t>
  </si>
  <si>
    <t>64</t>
  </si>
  <si>
    <t>140</t>
  </si>
  <si>
    <t>1.7</t>
  </si>
  <si>
    <t>อ.กลางเดือนกำหนดแผนฯ (7 มี.ค. 51)</t>
  </si>
</sst>
</file>

<file path=xl/styles.xml><?xml version="1.0" encoding="utf-8"?>
<styleSheet xmlns="http://schemas.openxmlformats.org/spreadsheetml/2006/main">
  <numFmts count="6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0.0"/>
    <numFmt numFmtId="204" formatCode="&quot;ใช่&quot;;&quot;ใช่&quot;;&quot;ไม่ใช่&quot;"/>
    <numFmt numFmtId="205" formatCode="&quot;จริง&quot;;&quot;จริง&quot;;&quot;เท็จ&quot;"/>
    <numFmt numFmtId="206" formatCode="&quot;เปิด&quot;;&quot;เปิด&quot;;&quot;ปิด&quot;"/>
    <numFmt numFmtId="207" formatCode="\+#,##0;\-#,##0"/>
    <numFmt numFmtId="208" formatCode="#,##0.0"/>
    <numFmt numFmtId="209" formatCode="#,##0.000"/>
    <numFmt numFmtId="210" formatCode="#,##0.0000"/>
    <numFmt numFmtId="211" formatCode="#,##0.00000"/>
    <numFmt numFmtId="212" formatCode="\(0\)"/>
    <numFmt numFmtId="213" formatCode="0.00_);\(0.00\)"/>
    <numFmt numFmtId="214" formatCode="0.000"/>
    <numFmt numFmtId="215" formatCode="0.0000"/>
    <numFmt numFmtId="216" formatCode="0.00000"/>
    <numFmt numFmtId="217" formatCode="_-* #,##0.0_-;\-* #,##0.0_-;_-* &quot;-&quot;??_-;_-@_-"/>
    <numFmt numFmtId="218" formatCode="_-* #,##0_-;\-* #,##0_-;_-* &quot;-&quot;??_-;_-@_-"/>
    <numFmt numFmtId="219" formatCode="[$-41E]d\ mmmm\ yyyy"/>
    <numFmt numFmtId="220" formatCode="[$-107041E]d\ mmm\ yy;@"/>
    <numFmt numFmtId="221" formatCode="[$-107041E]d\ mmmm\ yyyy;@"/>
    <numFmt numFmtId="222" formatCode="0.000000"/>
    <numFmt numFmtId="223" formatCode="[&lt;=99999999][$-D000000]0\-####\-####;[$-D000000]#\-####\-####"/>
    <numFmt numFmtId="224" formatCode="\t&quot;฿&quot;#,##0_);\(\t&quot;฿&quot;#,##0\)"/>
    <numFmt numFmtId="225" formatCode="\t&quot;฿&quot;#,##0_);[Red]\(\t&quot;฿&quot;#,##0\)"/>
    <numFmt numFmtId="226" formatCode="\t&quot;฿&quot;#,##0.00_);\(\t&quot;฿&quot;#,##0.00\)"/>
    <numFmt numFmtId="227" formatCode="\t&quot;฿&quot;#,##0.00_);[Red]\(\t&quot;฿&quot;#,##0.00\)"/>
    <numFmt numFmtId="228" formatCode="\t&quot;$&quot;#,##0_);\(\t&quot;$&quot;#,##0\)"/>
    <numFmt numFmtId="229" formatCode="\t&quot;$&quot;#,##0_);[Red]\(\t&quot;$&quot;#,##0\)"/>
    <numFmt numFmtId="230" formatCode="\t&quot;$&quot;#,##0.00_);\(\t&quot;$&quot;#,##0.00\)"/>
    <numFmt numFmtId="231" formatCode="\t&quot;$&quot;#,##0.00_);[Red]\(\t&quot;$&quot;#,##0.00\)"/>
    <numFmt numFmtId="232" formatCode="#,##0_ ;\-#,##0\ "/>
    <numFmt numFmtId="233" formatCode="#,##0.00_ ;\-#,##0.00\ "/>
    <numFmt numFmtId="234" formatCode="0.0000000"/>
  </numFmts>
  <fonts count="18">
    <font>
      <sz val="14"/>
      <name val="Angsana New"/>
      <family val="1"/>
    </font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ngsana New"/>
      <family val="1"/>
    </font>
    <font>
      <b/>
      <sz val="16"/>
      <name val="Angsana New"/>
      <family val="1"/>
    </font>
    <font>
      <b/>
      <sz val="14"/>
      <name val="Angsana New"/>
      <family val="1"/>
    </font>
    <font>
      <i/>
      <sz val="14"/>
      <name val="Angsana New"/>
      <family val="1"/>
    </font>
    <font>
      <sz val="14"/>
      <color indexed="10"/>
      <name val="Angsana New"/>
      <family val="1"/>
    </font>
    <font>
      <b/>
      <u val="single"/>
      <sz val="14"/>
      <name val="Angsana New"/>
      <family val="1"/>
    </font>
    <font>
      <b/>
      <i/>
      <u val="single"/>
      <sz val="14"/>
      <name val="Angsana New"/>
      <family val="1"/>
    </font>
    <font>
      <i/>
      <sz val="14"/>
      <color indexed="10"/>
      <name val="Angsana New"/>
      <family val="1"/>
    </font>
    <font>
      <sz val="14"/>
      <color indexed="12"/>
      <name val="Angsana New"/>
      <family val="1"/>
    </font>
    <font>
      <b/>
      <i/>
      <sz val="14"/>
      <name val="Angsana New"/>
      <family val="1"/>
    </font>
    <font>
      <sz val="13"/>
      <name val="Angsana New"/>
      <family val="1"/>
    </font>
    <font>
      <sz val="8"/>
      <name val="Tahoma"/>
      <family val="0"/>
    </font>
    <font>
      <b/>
      <sz val="8"/>
      <name val="Tahoma"/>
      <family val="0"/>
    </font>
    <font>
      <b/>
      <sz val="8"/>
      <name val="Angsana New"/>
      <family val="2"/>
    </font>
  </fonts>
  <fills count="6">
    <fill>
      <patternFill/>
    </fill>
    <fill>
      <patternFill patternType="gray125"/>
    </fill>
    <fill>
      <patternFill patternType="lightUp"/>
    </fill>
    <fill>
      <patternFill patternType="solid">
        <fgColor indexed="65"/>
        <bgColor indexed="64"/>
      </patternFill>
    </fill>
    <fill>
      <patternFill patternType="lightUp">
        <bgColor indexed="47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dotted"/>
    </border>
    <border>
      <left style="thin"/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tted"/>
      <bottom style="dotted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dotted"/>
      <bottom style="thin"/>
    </border>
    <border>
      <left style="thin"/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thin"/>
      <bottom style="dotted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thin"/>
      <top>
        <color indexed="63"/>
      </top>
      <bottom style="dotted"/>
    </border>
  </borders>
  <cellStyleXfs count="22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4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98">
    <xf numFmtId="0" fontId="0" fillId="0" borderId="0" xfId="0" applyAlignment="1">
      <alignment vertical="top"/>
    </xf>
    <xf numFmtId="0" fontId="6" fillId="0" borderId="1" xfId="0" applyFont="1" applyBorder="1" applyAlignment="1">
      <alignment horizontal="center" vertical="top"/>
    </xf>
    <xf numFmtId="1" fontId="7" fillId="0" borderId="1" xfId="0" applyNumberFormat="1" applyFont="1" applyBorder="1" applyAlignment="1">
      <alignment horizontal="center" vertical="top"/>
    </xf>
    <xf numFmtId="0" fontId="0" fillId="0" borderId="1" xfId="0" applyNumberFormat="1" applyFont="1" applyBorder="1" applyAlignment="1">
      <alignment horizontal="center" vertical="top"/>
    </xf>
    <xf numFmtId="49" fontId="0" fillId="0" borderId="2" xfId="0" applyNumberFormat="1" applyBorder="1" applyAlignment="1">
      <alignment vertical="top"/>
    </xf>
    <xf numFmtId="0" fontId="0" fillId="0" borderId="3" xfId="0" applyBorder="1" applyAlignment="1">
      <alignment vertical="top"/>
    </xf>
    <xf numFmtId="0" fontId="0" fillId="0" borderId="3" xfId="0" applyBorder="1" applyAlignment="1">
      <alignment horizontal="center" vertical="top"/>
    </xf>
    <xf numFmtId="0" fontId="0" fillId="2" borderId="3" xfId="0" applyNumberFormat="1" applyFont="1" applyFill="1" applyBorder="1" applyAlignment="1">
      <alignment horizontal="center" vertical="top"/>
    </xf>
    <xf numFmtId="0" fontId="0" fillId="0" borderId="3" xfId="0" applyNumberFormat="1" applyFont="1" applyBorder="1" applyAlignment="1">
      <alignment horizontal="center" vertical="top"/>
    </xf>
    <xf numFmtId="49" fontId="0" fillId="0" borderId="4" xfId="0" applyNumberFormat="1" applyBorder="1" applyAlignment="1">
      <alignment vertical="top"/>
    </xf>
    <xf numFmtId="0" fontId="7" fillId="0" borderId="3" xfId="0" applyNumberFormat="1" applyFont="1" applyBorder="1" applyAlignment="1">
      <alignment horizontal="center" vertical="top"/>
    </xf>
    <xf numFmtId="0" fontId="0" fillId="0" borderId="5" xfId="0" applyBorder="1" applyAlignment="1">
      <alignment vertical="top" shrinkToFit="1"/>
    </xf>
    <xf numFmtId="0" fontId="0" fillId="0" borderId="5" xfId="0" applyBorder="1" applyAlignment="1">
      <alignment horizontal="center" vertical="top"/>
    </xf>
    <xf numFmtId="0" fontId="0" fillId="2" borderId="5" xfId="0" applyNumberFormat="1" applyFont="1" applyFill="1" applyBorder="1" applyAlignment="1">
      <alignment horizontal="center" vertical="top"/>
    </xf>
    <xf numFmtId="0" fontId="0" fillId="0" borderId="5" xfId="0" applyNumberFormat="1" applyFont="1" applyBorder="1" applyAlignment="1">
      <alignment horizontal="center" vertical="top"/>
    </xf>
    <xf numFmtId="49" fontId="0" fillId="0" borderId="5" xfId="0" applyNumberFormat="1" applyFont="1" applyBorder="1" applyAlignment="1">
      <alignment horizontal="center" vertical="top"/>
    </xf>
    <xf numFmtId="0" fontId="7" fillId="0" borderId="5" xfId="0" applyNumberFormat="1" applyFont="1" applyBorder="1" applyAlignment="1">
      <alignment horizontal="center" vertical="top"/>
    </xf>
    <xf numFmtId="0" fontId="0" fillId="0" borderId="3" xfId="0" applyBorder="1" applyAlignment="1">
      <alignment vertical="top" shrinkToFit="1"/>
    </xf>
    <xf numFmtId="49" fontId="0" fillId="0" borderId="6" xfId="0" applyNumberFormat="1" applyBorder="1" applyAlignment="1">
      <alignment vertical="top"/>
    </xf>
    <xf numFmtId="0" fontId="0" fillId="0" borderId="7" xfId="0" applyBorder="1" applyAlignment="1">
      <alignment vertical="top"/>
    </xf>
    <xf numFmtId="0" fontId="0" fillId="0" borderId="7" xfId="0" applyBorder="1" applyAlignment="1">
      <alignment horizontal="center" vertical="top"/>
    </xf>
    <xf numFmtId="1" fontId="7" fillId="0" borderId="7" xfId="0" applyNumberFormat="1" applyFont="1" applyBorder="1" applyAlignment="1">
      <alignment horizontal="center" vertical="top"/>
    </xf>
    <xf numFmtId="0" fontId="0" fillId="0" borderId="7" xfId="0" applyNumberFormat="1" applyFont="1" applyBorder="1" applyAlignment="1">
      <alignment horizontal="center" vertical="top"/>
    </xf>
    <xf numFmtId="0" fontId="0" fillId="0" borderId="1" xfId="0" applyFont="1" applyBorder="1" applyAlignment="1">
      <alignment horizontal="center" vertical="top"/>
    </xf>
    <xf numFmtId="49" fontId="0" fillId="0" borderId="3" xfId="0" applyNumberFormat="1" applyFont="1" applyBorder="1" applyAlignment="1">
      <alignment horizontal="center" vertical="top"/>
    </xf>
    <xf numFmtId="1" fontId="7" fillId="0" borderId="3" xfId="0" applyNumberFormat="1" applyFont="1" applyBorder="1" applyAlignment="1">
      <alignment horizontal="center" vertical="top"/>
    </xf>
    <xf numFmtId="4" fontId="7" fillId="0" borderId="3" xfId="0" applyNumberFormat="1" applyFont="1" applyBorder="1" applyAlignment="1">
      <alignment horizontal="center" vertical="top"/>
    </xf>
    <xf numFmtId="208" fontId="7" fillId="0" borderId="3" xfId="0" applyNumberFormat="1" applyFont="1" applyBorder="1" applyAlignment="1">
      <alignment horizontal="center" vertical="top"/>
    </xf>
    <xf numFmtId="1" fontId="0" fillId="0" borderId="3" xfId="0" applyNumberFormat="1" applyFont="1" applyBorder="1" applyAlignment="1">
      <alignment horizontal="center" vertical="top"/>
    </xf>
    <xf numFmtId="208" fontId="7" fillId="0" borderId="5" xfId="0" applyNumberFormat="1" applyFont="1" applyBorder="1" applyAlignment="1">
      <alignment horizontal="center" vertical="top"/>
    </xf>
    <xf numFmtId="2" fontId="0" fillId="0" borderId="3" xfId="0" applyNumberFormat="1" applyFont="1" applyBorder="1" applyAlignment="1">
      <alignment horizontal="center" vertical="top"/>
    </xf>
    <xf numFmtId="3" fontId="0" fillId="0" borderId="3" xfId="0" applyNumberFormat="1" applyFont="1" applyBorder="1" applyAlignment="1">
      <alignment horizontal="center" vertical="top"/>
    </xf>
    <xf numFmtId="49" fontId="7" fillId="0" borderId="3" xfId="0" applyNumberFormat="1" applyFont="1" applyBorder="1" applyAlignment="1">
      <alignment horizontal="center" vertical="top"/>
    </xf>
    <xf numFmtId="2" fontId="7" fillId="0" borderId="3" xfId="0" applyNumberFormat="1" applyFont="1" applyBorder="1" applyAlignment="1">
      <alignment horizontal="center" vertical="top"/>
    </xf>
    <xf numFmtId="2" fontId="7" fillId="0" borderId="5" xfId="0" applyNumberFormat="1" applyFont="1" applyBorder="1" applyAlignment="1">
      <alignment horizontal="center" vertical="top"/>
    </xf>
    <xf numFmtId="3" fontId="7" fillId="0" borderId="3" xfId="0" applyNumberFormat="1" applyFont="1" applyBorder="1" applyAlignment="1">
      <alignment horizontal="center" vertical="top"/>
    </xf>
    <xf numFmtId="203" fontId="0" fillId="2" borderId="5" xfId="0" applyNumberFormat="1" applyFont="1" applyFill="1" applyBorder="1" applyAlignment="1">
      <alignment horizontal="center" vertical="top"/>
    </xf>
    <xf numFmtId="0" fontId="0" fillId="0" borderId="7" xfId="0" applyBorder="1" applyAlignment="1">
      <alignment vertical="top" shrinkToFit="1"/>
    </xf>
    <xf numFmtId="0" fontId="7" fillId="0" borderId="7" xfId="0" applyNumberFormat="1" applyFont="1" applyBorder="1" applyAlignment="1">
      <alignment horizontal="center" vertical="top"/>
    </xf>
    <xf numFmtId="2" fontId="0" fillId="0" borderId="5" xfId="0" applyNumberFormat="1" applyFont="1" applyBorder="1" applyAlignment="1">
      <alignment horizontal="center" vertical="top"/>
    </xf>
    <xf numFmtId="3" fontId="0" fillId="0" borderId="5" xfId="0" applyNumberFormat="1" applyFont="1" applyBorder="1" applyAlignment="1">
      <alignment horizontal="center" vertical="top"/>
    </xf>
    <xf numFmtId="4" fontId="7" fillId="0" borderId="5" xfId="0" applyNumberFormat="1" applyFont="1" applyBorder="1" applyAlignment="1">
      <alignment horizontal="center" vertical="top"/>
    </xf>
    <xf numFmtId="4" fontId="0" fillId="2" borderId="5" xfId="0" applyNumberFormat="1" applyFont="1" applyFill="1" applyBorder="1" applyAlignment="1">
      <alignment horizontal="center" vertical="top"/>
    </xf>
    <xf numFmtId="3" fontId="0" fillId="2" borderId="5" xfId="0" applyNumberFormat="1" applyFont="1" applyFill="1" applyBorder="1" applyAlignment="1">
      <alignment horizontal="center" vertical="top"/>
    </xf>
    <xf numFmtId="3" fontId="7" fillId="0" borderId="5" xfId="0" applyNumberFormat="1" applyFont="1" applyBorder="1" applyAlignment="1">
      <alignment horizontal="center" vertical="top"/>
    </xf>
    <xf numFmtId="203" fontId="7" fillId="0" borderId="3" xfId="0" applyNumberFormat="1" applyFont="1" applyBorder="1" applyAlignment="1">
      <alignment horizontal="center" vertical="top"/>
    </xf>
    <xf numFmtId="3" fontId="7" fillId="0" borderId="7" xfId="0" applyNumberFormat="1" applyFont="1" applyBorder="1" applyAlignment="1">
      <alignment horizontal="center" vertical="top"/>
    </xf>
    <xf numFmtId="3" fontId="0" fillId="0" borderId="7" xfId="0" applyNumberFormat="1" applyFont="1" applyBorder="1" applyAlignment="1">
      <alignment horizontal="center" vertical="top"/>
    </xf>
    <xf numFmtId="4" fontId="0" fillId="2" borderId="3" xfId="0" applyNumberFormat="1" applyFont="1" applyFill="1" applyBorder="1" applyAlignment="1">
      <alignment horizontal="center" vertical="top"/>
    </xf>
    <xf numFmtId="4" fontId="0" fillId="0" borderId="3" xfId="0" applyNumberFormat="1" applyFont="1" applyBorder="1" applyAlignment="1">
      <alignment horizontal="center" vertical="top"/>
    </xf>
    <xf numFmtId="4" fontId="7" fillId="0" borderId="7" xfId="0" applyNumberFormat="1" applyFont="1" applyBorder="1" applyAlignment="1">
      <alignment horizontal="center" vertical="top"/>
    </xf>
    <xf numFmtId="2" fontId="0" fillId="0" borderId="7" xfId="0" applyNumberFormat="1" applyFont="1" applyBorder="1" applyAlignment="1">
      <alignment horizontal="center" vertical="top"/>
    </xf>
    <xf numFmtId="0" fontId="0" fillId="2" borderId="7" xfId="0" applyNumberFormat="1" applyFont="1" applyFill="1" applyBorder="1" applyAlignment="1">
      <alignment horizontal="center" vertical="top"/>
    </xf>
    <xf numFmtId="1" fontId="0" fillId="2" borderId="3" xfId="0" applyNumberFormat="1" applyFont="1" applyFill="1" applyBorder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5" fillId="0" borderId="0" xfId="0" applyFont="1" applyAlignment="1">
      <alignment horizontal="centerContinuous" vertical="top"/>
    </xf>
    <xf numFmtId="0" fontId="6" fillId="0" borderId="8" xfId="0" applyFont="1" applyBorder="1" applyAlignment="1">
      <alignment horizontal="center" vertical="top"/>
    </xf>
    <xf numFmtId="0" fontId="6" fillId="0" borderId="8" xfId="0" applyFont="1" applyBorder="1" applyAlignment="1">
      <alignment horizontal="center" vertical="top" shrinkToFit="1"/>
    </xf>
    <xf numFmtId="0" fontId="6" fillId="0" borderId="1" xfId="0" applyFont="1" applyBorder="1" applyAlignment="1">
      <alignment vertical="top"/>
    </xf>
    <xf numFmtId="0" fontId="0" fillId="0" borderId="5" xfId="0" applyFont="1" applyBorder="1" applyAlignment="1">
      <alignment vertical="top"/>
    </xf>
    <xf numFmtId="0" fontId="0" fillId="0" borderId="5" xfId="0" applyFont="1" applyBorder="1" applyAlignment="1">
      <alignment horizontal="center" vertical="top"/>
    </xf>
    <xf numFmtId="0" fontId="0" fillId="0" borderId="9" xfId="0" applyFont="1" applyBorder="1" applyAlignment="1">
      <alignment vertical="top"/>
    </xf>
    <xf numFmtId="0" fontId="0" fillId="0" borderId="9" xfId="0" applyFont="1" applyBorder="1" applyAlignment="1">
      <alignment horizontal="center" vertical="top"/>
    </xf>
    <xf numFmtId="49" fontId="5" fillId="0" borderId="0" xfId="0" applyNumberFormat="1" applyFont="1" applyFill="1" applyAlignment="1">
      <alignment horizontal="centerContinuous" vertical="top"/>
    </xf>
    <xf numFmtId="0" fontId="6" fillId="0" borderId="0" xfId="0" applyFont="1" applyFill="1" applyAlignment="1">
      <alignment horizontal="centerContinuous" vertical="top"/>
    </xf>
    <xf numFmtId="0" fontId="0" fillId="0" borderId="0" xfId="0" applyFill="1" applyAlignment="1">
      <alignment vertical="top"/>
    </xf>
    <xf numFmtId="0" fontId="0" fillId="0" borderId="8" xfId="0" applyFont="1" applyFill="1" applyBorder="1" applyAlignment="1">
      <alignment horizontal="center" vertical="top"/>
    </xf>
    <xf numFmtId="0" fontId="8" fillId="0" borderId="0" xfId="0" applyFont="1" applyFill="1" applyAlignment="1">
      <alignment vertical="top"/>
    </xf>
    <xf numFmtId="49" fontId="0" fillId="0" borderId="0" xfId="0" applyNumberFormat="1" applyFill="1" applyAlignment="1">
      <alignment vertical="top"/>
    </xf>
    <xf numFmtId="0" fontId="0" fillId="0" borderId="0" xfId="0" applyFill="1" applyAlignment="1">
      <alignment vertical="top"/>
    </xf>
    <xf numFmtId="0" fontId="0" fillId="0" borderId="0" xfId="0" applyFill="1" applyAlignment="1">
      <alignment horizontal="center" vertical="top"/>
    </xf>
    <xf numFmtId="0" fontId="0" fillId="0" borderId="0" xfId="0" applyFont="1" applyFill="1" applyAlignment="1">
      <alignment horizontal="center" vertical="top"/>
    </xf>
    <xf numFmtId="49" fontId="9" fillId="0" borderId="1" xfId="0" applyNumberFormat="1" applyFont="1" applyBorder="1" applyAlignment="1">
      <alignment horizontal="left" vertical="top"/>
    </xf>
    <xf numFmtId="0" fontId="9" fillId="0" borderId="1" xfId="0" applyFont="1" applyBorder="1" applyAlignment="1">
      <alignment vertical="top"/>
    </xf>
    <xf numFmtId="0" fontId="9" fillId="0" borderId="1" xfId="0" applyFont="1" applyBorder="1" applyAlignment="1">
      <alignment horizontal="center" vertical="top"/>
    </xf>
    <xf numFmtId="1" fontId="10" fillId="0" borderId="1" xfId="0" applyNumberFormat="1" applyFont="1" applyBorder="1" applyAlignment="1">
      <alignment horizontal="center" vertical="top"/>
    </xf>
    <xf numFmtId="0" fontId="0" fillId="0" borderId="1" xfId="0" applyNumberFormat="1" applyBorder="1" applyAlignment="1">
      <alignment horizontal="center" vertical="top"/>
    </xf>
    <xf numFmtId="49" fontId="6" fillId="0" borderId="10" xfId="0" applyNumberFormat="1" applyFont="1" applyBorder="1" applyAlignment="1">
      <alignment vertical="top"/>
    </xf>
    <xf numFmtId="0" fontId="0" fillId="0" borderId="3" xfId="0" applyNumberFormat="1" applyBorder="1" applyAlignment="1">
      <alignment horizontal="center" vertical="top"/>
    </xf>
    <xf numFmtId="0" fontId="0" fillId="0" borderId="5" xfId="0" applyNumberFormat="1" applyBorder="1" applyAlignment="1">
      <alignment horizontal="center" vertical="top"/>
    </xf>
    <xf numFmtId="49" fontId="0" fillId="0" borderId="5" xfId="0" applyNumberFormat="1" applyBorder="1" applyAlignment="1">
      <alignment horizontal="center" vertical="top"/>
    </xf>
    <xf numFmtId="0" fontId="0" fillId="0" borderId="7" xfId="0" applyNumberFormat="1" applyBorder="1" applyAlignment="1">
      <alignment horizontal="center" vertical="top"/>
    </xf>
    <xf numFmtId="49" fontId="9" fillId="0" borderId="11" xfId="0" applyNumberFormat="1" applyFont="1" applyBorder="1" applyAlignment="1">
      <alignment horizontal="left" vertical="top"/>
    </xf>
    <xf numFmtId="0" fontId="0" fillId="0" borderId="1" xfId="0" applyBorder="1" applyAlignment="1">
      <alignment horizontal="center" vertical="top"/>
    </xf>
    <xf numFmtId="49" fontId="0" fillId="0" borderId="3" xfId="0" applyNumberFormat="1" applyBorder="1" applyAlignment="1">
      <alignment horizontal="center" vertical="top"/>
    </xf>
    <xf numFmtId="1" fontId="0" fillId="0" borderId="3" xfId="0" applyNumberFormat="1" applyBorder="1" applyAlignment="1">
      <alignment horizontal="center" vertical="top"/>
    </xf>
    <xf numFmtId="2" fontId="0" fillId="0" borderId="3" xfId="0" applyNumberFormat="1" applyBorder="1" applyAlignment="1">
      <alignment horizontal="center" vertical="top"/>
    </xf>
    <xf numFmtId="16" fontId="0" fillId="0" borderId="3" xfId="0" applyNumberFormat="1" applyBorder="1" applyAlignment="1">
      <alignment horizontal="center" vertical="top"/>
    </xf>
    <xf numFmtId="3" fontId="0" fillId="0" borderId="3" xfId="0" applyNumberFormat="1" applyBorder="1" applyAlignment="1">
      <alignment horizontal="center" vertical="top"/>
    </xf>
    <xf numFmtId="203" fontId="0" fillId="0" borderId="3" xfId="0" applyNumberFormat="1" applyBorder="1" applyAlignment="1">
      <alignment horizontal="center" vertical="top"/>
    </xf>
    <xf numFmtId="3" fontId="0" fillId="0" borderId="5" xfId="0" applyNumberFormat="1" applyBorder="1" applyAlignment="1">
      <alignment horizontal="center" vertical="top"/>
    </xf>
    <xf numFmtId="3" fontId="0" fillId="0" borderId="7" xfId="0" applyNumberFormat="1" applyBorder="1" applyAlignment="1">
      <alignment horizontal="center" vertical="top"/>
    </xf>
    <xf numFmtId="4" fontId="0" fillId="0" borderId="3" xfId="0" applyNumberFormat="1" applyBorder="1" applyAlignment="1">
      <alignment horizontal="center" vertical="top"/>
    </xf>
    <xf numFmtId="2" fontId="0" fillId="0" borderId="7" xfId="0" applyNumberFormat="1" applyBorder="1" applyAlignment="1">
      <alignment horizontal="center" vertical="top"/>
    </xf>
    <xf numFmtId="49" fontId="0" fillId="0" borderId="7" xfId="0" applyNumberFormat="1" applyBorder="1" applyAlignment="1">
      <alignment horizontal="center" vertical="top"/>
    </xf>
    <xf numFmtId="49" fontId="6" fillId="0" borderId="4" xfId="0" applyNumberFormat="1" applyFont="1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12" xfId="0" applyBorder="1" applyAlignment="1">
      <alignment horizontal="center" vertical="top" shrinkToFit="1"/>
    </xf>
    <xf numFmtId="1" fontId="7" fillId="0" borderId="12" xfId="0" applyNumberFormat="1" applyFont="1" applyBorder="1" applyAlignment="1">
      <alignment horizontal="center" vertical="top"/>
    </xf>
    <xf numFmtId="0" fontId="0" fillId="0" borderId="12" xfId="0" applyNumberFormat="1" applyFont="1" applyBorder="1" applyAlignment="1">
      <alignment horizontal="center" vertical="top"/>
    </xf>
    <xf numFmtId="0" fontId="0" fillId="0" borderId="12" xfId="0" applyNumberFormat="1" applyBorder="1" applyAlignment="1">
      <alignment horizontal="center" vertical="top"/>
    </xf>
    <xf numFmtId="0" fontId="8" fillId="0" borderId="3" xfId="0" applyNumberFormat="1" applyFont="1" applyBorder="1" applyAlignment="1">
      <alignment horizontal="center" vertical="top"/>
    </xf>
    <xf numFmtId="0" fontId="8" fillId="0" borderId="5" xfId="0" applyNumberFormat="1" applyFont="1" applyBorder="1" applyAlignment="1">
      <alignment horizontal="center" vertical="top"/>
    </xf>
    <xf numFmtId="49" fontId="8" fillId="0" borderId="5" xfId="0" applyNumberFormat="1" applyFont="1" applyBorder="1" applyAlignment="1">
      <alignment horizontal="center" vertical="top"/>
    </xf>
    <xf numFmtId="0" fontId="11" fillId="0" borderId="5" xfId="0" applyNumberFormat="1" applyFont="1" applyFill="1" applyBorder="1" applyAlignment="1">
      <alignment horizontal="center" vertical="top"/>
    </xf>
    <xf numFmtId="0" fontId="8" fillId="0" borderId="5" xfId="0" applyNumberFormat="1" applyFont="1" applyFill="1" applyBorder="1" applyAlignment="1">
      <alignment horizontal="center" vertical="top"/>
    </xf>
    <xf numFmtId="4" fontId="11" fillId="0" borderId="3" xfId="0" applyNumberFormat="1" applyFont="1" applyBorder="1" applyAlignment="1">
      <alignment horizontal="center" vertical="top"/>
    </xf>
    <xf numFmtId="2" fontId="8" fillId="0" borderId="3" xfId="0" applyNumberFormat="1" applyFont="1" applyBorder="1" applyAlignment="1">
      <alignment horizontal="center" vertical="top"/>
    </xf>
    <xf numFmtId="49" fontId="6" fillId="0" borderId="10" xfId="0" applyNumberFormat="1" applyFont="1" applyFill="1" applyBorder="1" applyAlignment="1">
      <alignment vertical="top"/>
    </xf>
    <xf numFmtId="0" fontId="8" fillId="0" borderId="5" xfId="0" applyNumberFormat="1" applyFont="1" applyBorder="1" applyAlignment="1">
      <alignment horizontal="center" vertical="top"/>
    </xf>
    <xf numFmtId="49" fontId="8" fillId="0" borderId="5" xfId="0" applyNumberFormat="1" applyFont="1" applyBorder="1" applyAlignment="1">
      <alignment horizontal="center" vertical="top"/>
    </xf>
    <xf numFmtId="3" fontId="8" fillId="0" borderId="5" xfId="0" applyNumberFormat="1" applyFont="1" applyBorder="1" applyAlignment="1">
      <alignment horizontal="center" vertical="top"/>
    </xf>
    <xf numFmtId="49" fontId="5" fillId="0" borderId="0" xfId="0" applyNumberFormat="1" applyFont="1" applyAlignment="1">
      <alignment horizontal="centerContinuous" vertical="top"/>
    </xf>
    <xf numFmtId="0" fontId="6" fillId="0" borderId="0" xfId="0" applyFont="1" applyAlignment="1">
      <alignment horizontal="centerContinuous" vertical="top"/>
    </xf>
    <xf numFmtId="0" fontId="0" fillId="0" borderId="8" xfId="0" applyFont="1" applyBorder="1" applyAlignment="1">
      <alignment horizontal="center" vertical="top"/>
    </xf>
    <xf numFmtId="49" fontId="6" fillId="0" borderId="13" xfId="0" applyNumberFormat="1" applyFont="1" applyBorder="1" applyAlignment="1">
      <alignment vertical="top"/>
    </xf>
    <xf numFmtId="0" fontId="6" fillId="0" borderId="0" xfId="0" applyFont="1" applyAlignment="1">
      <alignment vertical="top"/>
    </xf>
    <xf numFmtId="0" fontId="6" fillId="0" borderId="14" xfId="0" applyFont="1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49" fontId="0" fillId="0" borderId="10" xfId="0" applyNumberFormat="1" applyBorder="1" applyAlignment="1">
      <alignment vertical="top"/>
    </xf>
    <xf numFmtId="0" fontId="0" fillId="0" borderId="15" xfId="0" applyBorder="1" applyAlignment="1">
      <alignment horizontal="center" vertical="top"/>
    </xf>
    <xf numFmtId="1" fontId="0" fillId="0" borderId="7" xfId="0" applyNumberFormat="1" applyFont="1" applyBorder="1" applyAlignment="1">
      <alignment horizontal="center" vertical="top"/>
    </xf>
    <xf numFmtId="49" fontId="13" fillId="0" borderId="4" xfId="0" applyNumberFormat="1" applyFont="1" applyBorder="1" applyAlignment="1">
      <alignment vertical="top"/>
    </xf>
    <xf numFmtId="0" fontId="13" fillId="0" borderId="0" xfId="0" applyFont="1" applyAlignment="1">
      <alignment vertical="top"/>
    </xf>
    <xf numFmtId="0" fontId="13" fillId="0" borderId="12" xfId="0" applyFont="1" applyBorder="1" applyAlignment="1">
      <alignment horizontal="center" vertical="top"/>
    </xf>
    <xf numFmtId="2" fontId="0" fillId="2" borderId="5" xfId="0" applyNumberFormat="1" applyFont="1" applyFill="1" applyBorder="1" applyAlignment="1">
      <alignment horizontal="center" vertical="top"/>
    </xf>
    <xf numFmtId="1" fontId="0" fillId="0" borderId="5" xfId="0" applyNumberFormat="1" applyFont="1" applyBorder="1" applyAlignment="1">
      <alignment horizontal="center" vertical="top"/>
    </xf>
    <xf numFmtId="203" fontId="0" fillId="0" borderId="3" xfId="0" applyNumberFormat="1" applyFont="1" applyBorder="1" applyAlignment="1">
      <alignment horizontal="center" vertical="top"/>
    </xf>
    <xf numFmtId="16" fontId="0" fillId="0" borderId="5" xfId="0" applyNumberFormat="1" applyFont="1" applyBorder="1" applyAlignment="1">
      <alignment horizontal="center" vertical="top"/>
    </xf>
    <xf numFmtId="203" fontId="0" fillId="0" borderId="5" xfId="0" applyNumberFormat="1" applyFont="1" applyBorder="1" applyAlignment="1">
      <alignment horizontal="center" vertical="top"/>
    </xf>
    <xf numFmtId="0" fontId="0" fillId="2" borderId="5" xfId="0" applyFont="1" applyFill="1" applyBorder="1" applyAlignment="1">
      <alignment horizontal="center" vertical="top"/>
    </xf>
    <xf numFmtId="0" fontId="0" fillId="0" borderId="7" xfId="0" applyFont="1" applyBorder="1" applyAlignment="1">
      <alignment horizontal="center" vertical="top"/>
    </xf>
    <xf numFmtId="4" fontId="0" fillId="0" borderId="5" xfId="0" applyNumberFormat="1" applyFont="1" applyBorder="1" applyAlignment="1">
      <alignment horizontal="center" vertical="top"/>
    </xf>
    <xf numFmtId="208" fontId="0" fillId="0" borderId="3" xfId="0" applyNumberFormat="1" applyFont="1" applyBorder="1" applyAlignment="1">
      <alignment horizontal="center" vertical="top"/>
    </xf>
    <xf numFmtId="0" fontId="0" fillId="0" borderId="3" xfId="0" applyFont="1" applyBorder="1" applyAlignment="1">
      <alignment horizontal="center" vertical="top"/>
    </xf>
    <xf numFmtId="4" fontId="0" fillId="0" borderId="7" xfId="0" applyNumberFormat="1" applyFont="1" applyBorder="1" applyAlignment="1">
      <alignment horizontal="center" vertical="top"/>
    </xf>
    <xf numFmtId="49" fontId="0" fillId="2" borderId="5" xfId="0" applyNumberFormat="1" applyFont="1" applyFill="1" applyBorder="1" applyAlignment="1">
      <alignment horizontal="center" vertical="top"/>
    </xf>
    <xf numFmtId="49" fontId="0" fillId="0" borderId="0" xfId="0" applyNumberFormat="1" applyAlignment="1">
      <alignment vertical="top"/>
    </xf>
    <xf numFmtId="0" fontId="0" fillId="0" borderId="0" xfId="0" applyAlignment="1">
      <alignment horizontal="center" vertical="top"/>
    </xf>
    <xf numFmtId="49" fontId="0" fillId="0" borderId="0" xfId="0" applyNumberFormat="1" applyAlignment="1">
      <alignment horizontal="right" vertical="top"/>
    </xf>
    <xf numFmtId="0" fontId="0" fillId="2" borderId="3" xfId="0" applyFont="1" applyFill="1" applyBorder="1" applyAlignment="1">
      <alignment horizontal="center" vertical="top"/>
    </xf>
    <xf numFmtId="0" fontId="0" fillId="0" borderId="5" xfId="0" applyNumberFormat="1" applyFont="1" applyFill="1" applyBorder="1" applyAlignment="1">
      <alignment horizontal="center" vertical="top"/>
    </xf>
    <xf numFmtId="49" fontId="0" fillId="0" borderId="5" xfId="0" applyNumberFormat="1" applyFont="1" applyFill="1" applyBorder="1" applyAlignment="1">
      <alignment horizontal="center" vertical="top"/>
    </xf>
    <xf numFmtId="3" fontId="0" fillId="0" borderId="3" xfId="15" applyNumberFormat="1" applyFont="1" applyBorder="1" applyAlignment="1">
      <alignment horizontal="center" vertical="top"/>
    </xf>
    <xf numFmtId="0" fontId="0" fillId="0" borderId="0" xfId="0" applyFont="1" applyAlignment="1">
      <alignment vertical="top"/>
    </xf>
    <xf numFmtId="0" fontId="6" fillId="0" borderId="16" xfId="0" applyFont="1" applyBorder="1" applyAlignment="1">
      <alignment vertical="top"/>
    </xf>
    <xf numFmtId="49" fontId="0" fillId="0" borderId="4" xfId="0" applyNumberFormat="1" applyFont="1" applyBorder="1" applyAlignment="1">
      <alignment vertical="top"/>
    </xf>
    <xf numFmtId="0" fontId="0" fillId="0" borderId="12" xfId="0" applyFont="1" applyBorder="1" applyAlignment="1">
      <alignment horizontal="center" vertical="top"/>
    </xf>
    <xf numFmtId="49" fontId="0" fillId="0" borderId="6" xfId="0" applyNumberFormat="1" applyFont="1" applyBorder="1" applyAlignment="1">
      <alignment vertical="top"/>
    </xf>
    <xf numFmtId="0" fontId="13" fillId="0" borderId="16" xfId="0" applyFont="1" applyBorder="1" applyAlignment="1">
      <alignment vertical="top"/>
    </xf>
    <xf numFmtId="49" fontId="0" fillId="0" borderId="2" xfId="0" applyNumberFormat="1" applyFont="1" applyBorder="1" applyAlignment="1">
      <alignment vertical="top"/>
    </xf>
    <xf numFmtId="49" fontId="0" fillId="0" borderId="10" xfId="0" applyNumberFormat="1" applyFont="1" applyBorder="1" applyAlignment="1">
      <alignment vertical="top"/>
    </xf>
    <xf numFmtId="0" fontId="0" fillId="0" borderId="15" xfId="0" applyFont="1" applyBorder="1" applyAlignment="1">
      <alignment horizontal="center" vertical="top"/>
    </xf>
    <xf numFmtId="49" fontId="0" fillId="0" borderId="0" xfId="0" applyNumberFormat="1" applyFont="1" applyAlignment="1">
      <alignment vertical="top"/>
    </xf>
    <xf numFmtId="49" fontId="0" fillId="0" borderId="0" xfId="0" applyNumberFormat="1" applyFont="1" applyAlignment="1">
      <alignment horizontal="right" vertical="top"/>
    </xf>
    <xf numFmtId="0" fontId="14" fillId="0" borderId="3" xfId="0" applyFont="1" applyBorder="1" applyAlignment="1">
      <alignment horizontal="center" vertical="top"/>
    </xf>
    <xf numFmtId="0" fontId="0" fillId="3" borderId="5" xfId="0" applyNumberFormat="1" applyFont="1" applyFill="1" applyBorder="1" applyAlignment="1">
      <alignment horizontal="center" vertical="top"/>
    </xf>
    <xf numFmtId="49" fontId="0" fillId="3" borderId="5" xfId="0" applyNumberFormat="1" applyFont="1" applyFill="1" applyBorder="1" applyAlignment="1">
      <alignment horizontal="center" vertical="top"/>
    </xf>
    <xf numFmtId="3" fontId="0" fillId="2" borderId="3" xfId="0" applyNumberFormat="1" applyFont="1" applyFill="1" applyBorder="1" applyAlignment="1">
      <alignment horizontal="center" vertical="top"/>
    </xf>
    <xf numFmtId="49" fontId="0" fillId="0" borderId="4" xfId="0" applyNumberFormat="1" applyFill="1" applyBorder="1" applyAlignment="1">
      <alignment vertical="top"/>
    </xf>
    <xf numFmtId="0" fontId="0" fillId="0" borderId="5" xfId="0" applyFill="1" applyBorder="1" applyAlignment="1">
      <alignment vertical="top" shrinkToFit="1"/>
    </xf>
    <xf numFmtId="2" fontId="7" fillId="0" borderId="5" xfId="0" applyNumberFormat="1" applyFont="1" applyFill="1" applyBorder="1" applyAlignment="1">
      <alignment horizontal="center" vertical="top"/>
    </xf>
    <xf numFmtId="4" fontId="11" fillId="0" borderId="3" xfId="0" applyNumberFormat="1" applyFont="1" applyFill="1" applyBorder="1" applyAlignment="1">
      <alignment horizontal="center" vertical="top"/>
    </xf>
    <xf numFmtId="2" fontId="11" fillId="0" borderId="3" xfId="0" applyNumberFormat="1" applyFont="1" applyFill="1" applyBorder="1" applyAlignment="1">
      <alignment horizontal="center" vertical="top"/>
    </xf>
    <xf numFmtId="0" fontId="0" fillId="0" borderId="3" xfId="0" applyFill="1" applyBorder="1" applyAlignment="1">
      <alignment vertical="top"/>
    </xf>
    <xf numFmtId="0" fontId="0" fillId="0" borderId="3" xfId="0" applyFill="1" applyBorder="1" applyAlignment="1">
      <alignment horizontal="center" vertical="top"/>
    </xf>
    <xf numFmtId="3" fontId="7" fillId="0" borderId="3" xfId="0" applyNumberFormat="1" applyFont="1" applyFill="1" applyBorder="1" applyAlignment="1">
      <alignment horizontal="center" vertical="top"/>
    </xf>
    <xf numFmtId="3" fontId="0" fillId="0" borderId="3" xfId="0" applyNumberFormat="1" applyFont="1" applyFill="1" applyBorder="1" applyAlignment="1">
      <alignment horizontal="center" vertical="top"/>
    </xf>
    <xf numFmtId="3" fontId="0" fillId="0" borderId="3" xfId="0" applyNumberFormat="1" applyFill="1" applyBorder="1" applyAlignment="1">
      <alignment horizontal="center" vertical="top"/>
    </xf>
    <xf numFmtId="4" fontId="8" fillId="0" borderId="5" xfId="0" applyNumberFormat="1" applyFont="1" applyFill="1" applyBorder="1" applyAlignment="1">
      <alignment horizontal="center" vertical="top"/>
    </xf>
    <xf numFmtId="2" fontId="11" fillId="0" borderId="5" xfId="0" applyNumberFormat="1" applyFont="1" applyFill="1" applyBorder="1" applyAlignment="1">
      <alignment horizontal="center" vertical="top"/>
    </xf>
    <xf numFmtId="2" fontId="7" fillId="0" borderId="3" xfId="0" applyNumberFormat="1" applyFont="1" applyFill="1" applyBorder="1" applyAlignment="1">
      <alignment horizontal="center" vertical="top"/>
    </xf>
    <xf numFmtId="0" fontId="11" fillId="0" borderId="3" xfId="0" applyNumberFormat="1" applyFont="1" applyFill="1" applyBorder="1" applyAlignment="1">
      <alignment horizontal="center" vertical="top"/>
    </xf>
    <xf numFmtId="4" fontId="7" fillId="0" borderId="3" xfId="0" applyNumberFormat="1" applyFont="1" applyFill="1" applyBorder="1" applyAlignment="1">
      <alignment horizontal="center" vertical="top"/>
    </xf>
    <xf numFmtId="2" fontId="8" fillId="0" borderId="5" xfId="0" applyNumberFormat="1" applyFont="1" applyFill="1" applyBorder="1" applyAlignment="1">
      <alignment horizontal="center" vertical="top"/>
    </xf>
    <xf numFmtId="4" fontId="11" fillId="0" borderId="5" xfId="0" applyNumberFormat="1" applyFont="1" applyFill="1" applyBorder="1" applyAlignment="1">
      <alignment horizontal="center" vertical="top"/>
    </xf>
    <xf numFmtId="4" fontId="11" fillId="0" borderId="5" xfId="15" applyNumberFormat="1" applyFont="1" applyFill="1" applyBorder="1" applyAlignment="1">
      <alignment horizontal="center" vertical="top"/>
    </xf>
    <xf numFmtId="0" fontId="7" fillId="0" borderId="3" xfId="0" applyNumberFormat="1" applyFont="1" applyFill="1" applyBorder="1" applyAlignment="1">
      <alignment horizontal="center" vertical="top"/>
    </xf>
    <xf numFmtId="3" fontId="7" fillId="0" borderId="5" xfId="0" applyNumberFormat="1" applyFont="1" applyFill="1" applyBorder="1" applyAlignment="1">
      <alignment horizontal="center" vertical="top"/>
    </xf>
    <xf numFmtId="4" fontId="0" fillId="0" borderId="5" xfId="0" applyNumberFormat="1" applyFont="1" applyFill="1" applyBorder="1" applyAlignment="1">
      <alignment horizontal="center" vertical="top"/>
    </xf>
    <xf numFmtId="49" fontId="0" fillId="0" borderId="4" xfId="0" applyNumberFormat="1" applyFont="1" applyBorder="1" applyAlignment="1">
      <alignment vertical="top"/>
    </xf>
    <xf numFmtId="0" fontId="0" fillId="0" borderId="5" xfId="0" applyFont="1" applyBorder="1" applyAlignment="1">
      <alignment vertical="top" shrinkToFit="1"/>
    </xf>
    <xf numFmtId="0" fontId="0" fillId="0" borderId="5" xfId="0" applyFont="1" applyBorder="1" applyAlignment="1">
      <alignment horizontal="center" vertical="top"/>
    </xf>
    <xf numFmtId="0" fontId="0" fillId="2" borderId="5" xfId="0" applyNumberFormat="1" applyFont="1" applyFill="1" applyBorder="1" applyAlignment="1">
      <alignment horizontal="center" vertical="top"/>
    </xf>
    <xf numFmtId="0" fontId="7" fillId="0" borderId="5" xfId="0" applyNumberFormat="1" applyFont="1" applyFill="1" applyBorder="1" applyAlignment="1">
      <alignment horizontal="center" vertical="top"/>
    </xf>
    <xf numFmtId="0" fontId="0" fillId="0" borderId="5" xfId="0" applyNumberFormat="1" applyFont="1" applyBorder="1" applyAlignment="1">
      <alignment horizontal="center" vertical="top"/>
    </xf>
    <xf numFmtId="49" fontId="0" fillId="0" borderId="5" xfId="0" applyNumberFormat="1" applyFont="1" applyBorder="1" applyAlignment="1">
      <alignment horizontal="center" vertical="top"/>
    </xf>
    <xf numFmtId="0" fontId="0" fillId="0" borderId="0" xfId="0" applyFont="1" applyFill="1" applyAlignment="1">
      <alignment vertical="top"/>
    </xf>
    <xf numFmtId="49" fontId="0" fillId="0" borderId="4" xfId="0" applyNumberFormat="1" applyFont="1" applyFill="1" applyBorder="1" applyAlignment="1">
      <alignment vertical="top"/>
    </xf>
    <xf numFmtId="0" fontId="0" fillId="0" borderId="5" xfId="0" applyFont="1" applyFill="1" applyBorder="1" applyAlignment="1">
      <alignment vertical="top" shrinkToFit="1"/>
    </xf>
    <xf numFmtId="0" fontId="0" fillId="0" borderId="5" xfId="0" applyFont="1" applyFill="1" applyBorder="1" applyAlignment="1">
      <alignment horizontal="center" vertical="top"/>
    </xf>
    <xf numFmtId="208" fontId="0" fillId="2" borderId="5" xfId="0" applyNumberFormat="1" applyFont="1" applyFill="1" applyBorder="1" applyAlignment="1">
      <alignment horizontal="center" vertical="top"/>
    </xf>
    <xf numFmtId="4" fontId="7" fillId="0" borderId="3" xfId="0" applyNumberFormat="1" applyFont="1" applyFill="1" applyBorder="1" applyAlignment="1">
      <alignment horizontal="center" vertical="top"/>
    </xf>
    <xf numFmtId="0" fontId="0" fillId="0" borderId="5" xfId="0" applyNumberFormat="1" applyFont="1" applyFill="1" applyBorder="1" applyAlignment="1">
      <alignment horizontal="center" vertical="top"/>
    </xf>
    <xf numFmtId="4" fontId="7" fillId="0" borderId="3" xfId="0" applyNumberFormat="1" applyFont="1" applyBorder="1" applyAlignment="1">
      <alignment horizontal="center" vertical="top"/>
    </xf>
    <xf numFmtId="2" fontId="7" fillId="0" borderId="5" xfId="0" applyNumberFormat="1" applyFont="1" applyFill="1" applyBorder="1" applyAlignment="1">
      <alignment horizontal="center" vertical="top"/>
    </xf>
    <xf numFmtId="0" fontId="0" fillId="2" borderId="5" xfId="0" applyNumberFormat="1" applyFont="1" applyFill="1" applyBorder="1" applyAlignment="1">
      <alignment horizontal="center" vertical="top"/>
    </xf>
    <xf numFmtId="0" fontId="7" fillId="0" borderId="5" xfId="0" applyNumberFormat="1" applyFont="1" applyBorder="1" applyAlignment="1">
      <alignment horizontal="center" vertical="top"/>
    </xf>
    <xf numFmtId="2" fontId="7" fillId="0" borderId="5" xfId="0" applyNumberFormat="1" applyFont="1" applyBorder="1" applyAlignment="1">
      <alignment horizontal="center" vertical="top"/>
    </xf>
    <xf numFmtId="2" fontId="7" fillId="0" borderId="3" xfId="0" applyNumberFormat="1" applyFont="1" applyBorder="1" applyAlignment="1">
      <alignment horizontal="center" vertical="top"/>
    </xf>
    <xf numFmtId="4" fontId="7" fillId="0" borderId="5" xfId="0" applyNumberFormat="1" applyFont="1" applyFill="1" applyBorder="1" applyAlignment="1">
      <alignment horizontal="center" vertical="top"/>
    </xf>
    <xf numFmtId="4" fontId="7" fillId="0" borderId="5" xfId="0" applyNumberFormat="1" applyFont="1" applyBorder="1" applyAlignment="1">
      <alignment horizontal="center" vertical="top"/>
    </xf>
    <xf numFmtId="3" fontId="0" fillId="2" borderId="5" xfId="0" applyNumberFormat="1" applyFont="1" applyFill="1" applyBorder="1" applyAlignment="1">
      <alignment horizontal="center" vertical="top"/>
    </xf>
    <xf numFmtId="3" fontId="7" fillId="0" borderId="5" xfId="0" applyNumberFormat="1" applyFont="1" applyBorder="1" applyAlignment="1">
      <alignment horizontal="center" vertical="top"/>
    </xf>
    <xf numFmtId="3" fontId="7" fillId="0" borderId="5" xfId="0" applyNumberFormat="1" applyFont="1" applyFill="1" applyBorder="1" applyAlignment="1">
      <alignment horizontal="center" vertical="top"/>
    </xf>
    <xf numFmtId="3" fontId="0" fillId="0" borderId="5" xfId="0" applyNumberFormat="1" applyFont="1" applyBorder="1" applyAlignment="1">
      <alignment horizontal="center" vertical="top"/>
    </xf>
    <xf numFmtId="4" fontId="0" fillId="0" borderId="5" xfId="0" applyNumberFormat="1" applyFont="1" applyFill="1" applyBorder="1" applyAlignment="1">
      <alignment horizontal="center" vertical="top"/>
    </xf>
    <xf numFmtId="2" fontId="0" fillId="0" borderId="5" xfId="0" applyNumberFormat="1" applyFont="1" applyFill="1" applyBorder="1" applyAlignment="1">
      <alignment horizontal="center" vertical="top"/>
    </xf>
    <xf numFmtId="203" fontId="7" fillId="0" borderId="5" xfId="0" applyNumberFormat="1" applyFont="1" applyFill="1" applyBorder="1" applyAlignment="1">
      <alignment horizontal="center" vertical="top"/>
    </xf>
    <xf numFmtId="0" fontId="7" fillId="0" borderId="5" xfId="0" applyNumberFormat="1" applyFont="1" applyFill="1" applyBorder="1" applyAlignment="1">
      <alignment horizontal="center" vertical="top"/>
    </xf>
    <xf numFmtId="0" fontId="12" fillId="0" borderId="0" xfId="0" applyFont="1" applyFill="1" applyAlignment="1">
      <alignment vertical="top"/>
    </xf>
    <xf numFmtId="0" fontId="0" fillId="0" borderId="5" xfId="0" applyNumberFormat="1" applyFont="1" applyBorder="1" applyAlignment="1">
      <alignment horizontal="center" vertical="top"/>
    </xf>
    <xf numFmtId="0" fontId="0" fillId="0" borderId="0" xfId="0" applyFont="1" applyFill="1" applyAlignment="1">
      <alignment vertical="top"/>
    </xf>
    <xf numFmtId="4" fontId="7" fillId="0" borderId="5" xfId="0" applyNumberFormat="1" applyFont="1" applyFill="1" applyBorder="1" applyAlignment="1">
      <alignment horizontal="center" vertical="top"/>
    </xf>
    <xf numFmtId="2" fontId="0" fillId="0" borderId="5" xfId="0" applyNumberFormat="1" applyFont="1" applyFill="1" applyBorder="1" applyAlignment="1">
      <alignment horizontal="center" vertical="top"/>
    </xf>
    <xf numFmtId="203" fontId="7" fillId="0" borderId="5" xfId="0" applyNumberFormat="1" applyFont="1" applyFill="1" applyBorder="1" applyAlignment="1">
      <alignment horizontal="center" vertical="top"/>
    </xf>
    <xf numFmtId="49" fontId="0" fillId="0" borderId="5" xfId="0" applyNumberFormat="1" applyFont="1" applyBorder="1" applyAlignment="1">
      <alignment horizontal="center" vertical="top"/>
    </xf>
    <xf numFmtId="2" fontId="8" fillId="0" borderId="5" xfId="0" applyNumberFormat="1" applyFont="1" applyBorder="1" applyAlignment="1">
      <alignment horizontal="center" vertical="top"/>
    </xf>
    <xf numFmtId="49" fontId="8" fillId="0" borderId="5" xfId="0" applyNumberFormat="1" applyFont="1" applyFill="1" applyBorder="1" applyAlignment="1">
      <alignment horizontal="center" vertical="top"/>
    </xf>
    <xf numFmtId="49" fontId="7" fillId="0" borderId="5" xfId="0" applyNumberFormat="1" applyFont="1" applyFill="1" applyBorder="1" applyAlignment="1">
      <alignment horizontal="center" vertical="top"/>
    </xf>
    <xf numFmtId="203" fontId="7" fillId="0" borderId="5" xfId="0" applyNumberFormat="1" applyFont="1" applyBorder="1" applyAlignment="1">
      <alignment horizontal="center" vertical="top"/>
    </xf>
    <xf numFmtId="0" fontId="8" fillId="0" borderId="5" xfId="0" applyNumberFormat="1" applyFont="1" applyFill="1" applyBorder="1" applyAlignment="1">
      <alignment horizontal="center" vertical="top"/>
    </xf>
    <xf numFmtId="0" fontId="0" fillId="0" borderId="5" xfId="0" applyNumberFormat="1" applyFont="1" applyFill="1" applyBorder="1" applyAlignment="1">
      <alignment horizontal="center" vertical="top"/>
    </xf>
    <xf numFmtId="3" fontId="0" fillId="0" borderId="5" xfId="0" applyNumberFormat="1" applyFill="1" applyBorder="1" applyAlignment="1">
      <alignment horizontal="center" vertical="top"/>
    </xf>
    <xf numFmtId="3" fontId="8" fillId="0" borderId="5" xfId="0" applyNumberFormat="1" applyFont="1" applyFill="1" applyBorder="1" applyAlignment="1">
      <alignment horizontal="center" vertical="top"/>
    </xf>
    <xf numFmtId="3" fontId="8" fillId="0" borderId="3" xfId="0" applyNumberFormat="1" applyFont="1" applyFill="1" applyBorder="1" applyAlignment="1">
      <alignment horizontal="center" vertical="top"/>
    </xf>
    <xf numFmtId="0" fontId="0" fillId="0" borderId="3" xfId="0" applyNumberFormat="1" applyFont="1" applyFill="1" applyBorder="1" applyAlignment="1">
      <alignment horizontal="center" vertical="top"/>
    </xf>
    <xf numFmtId="203" fontId="8" fillId="0" borderId="5" xfId="0" applyNumberFormat="1" applyFont="1" applyBorder="1" applyAlignment="1">
      <alignment horizontal="center" vertical="top"/>
    </xf>
    <xf numFmtId="3" fontId="8" fillId="0" borderId="5" xfId="0" applyNumberFormat="1" applyFont="1" applyBorder="1" applyAlignment="1">
      <alignment horizontal="center" vertical="top"/>
    </xf>
    <xf numFmtId="2" fontId="0" fillId="0" borderId="3" xfId="0" applyNumberFormat="1" applyFont="1" applyFill="1" applyBorder="1" applyAlignment="1">
      <alignment horizontal="center" vertical="top"/>
    </xf>
    <xf numFmtId="0" fontId="0" fillId="4" borderId="5" xfId="0" applyNumberFormat="1" applyFont="1" applyFill="1" applyBorder="1" applyAlignment="1">
      <alignment horizontal="center" vertical="top"/>
    </xf>
    <xf numFmtId="49" fontId="8" fillId="0" borderId="7" xfId="0" applyNumberFormat="1" applyFont="1" applyFill="1" applyBorder="1" applyAlignment="1">
      <alignment horizontal="center" vertical="top"/>
    </xf>
    <xf numFmtId="49" fontId="0" fillId="0" borderId="6" xfId="0" applyNumberFormat="1" applyFill="1" applyBorder="1" applyAlignment="1">
      <alignment vertical="top"/>
    </xf>
    <xf numFmtId="0" fontId="0" fillId="0" borderId="7" xfId="0" applyFill="1" applyBorder="1" applyAlignment="1">
      <alignment vertical="top"/>
    </xf>
    <xf numFmtId="0" fontId="0" fillId="0" borderId="7" xfId="0" applyFill="1" applyBorder="1" applyAlignment="1">
      <alignment horizontal="center" vertical="top"/>
    </xf>
    <xf numFmtId="1" fontId="7" fillId="0" borderId="7" xfId="0" applyNumberFormat="1" applyFont="1" applyFill="1" applyBorder="1" applyAlignment="1">
      <alignment horizontal="center" vertical="top"/>
    </xf>
    <xf numFmtId="0" fontId="0" fillId="0" borderId="5" xfId="0" applyNumberFormat="1" applyFill="1" applyBorder="1" applyAlignment="1">
      <alignment horizontal="center" vertical="top"/>
    </xf>
    <xf numFmtId="49" fontId="0" fillId="0" borderId="5" xfId="0" applyNumberFormat="1" applyFill="1" applyBorder="1" applyAlignment="1">
      <alignment horizontal="center" vertical="top"/>
    </xf>
    <xf numFmtId="0" fontId="0" fillId="0" borderId="5" xfId="0" applyFill="1" applyBorder="1" applyAlignment="1">
      <alignment horizontal="center" vertical="top"/>
    </xf>
    <xf numFmtId="49" fontId="7" fillId="0" borderId="3" xfId="0" applyNumberFormat="1" applyFont="1" applyFill="1" applyBorder="1" applyAlignment="1">
      <alignment horizontal="center" vertical="top"/>
    </xf>
    <xf numFmtId="0" fontId="0" fillId="0" borderId="3" xfId="0" applyNumberFormat="1" applyFont="1" applyBorder="1" applyAlignment="1">
      <alignment horizontal="center" vertical="top"/>
    </xf>
    <xf numFmtId="3" fontId="8" fillId="0" borderId="3" xfId="0" applyNumberFormat="1" applyFont="1" applyBorder="1" applyAlignment="1">
      <alignment horizontal="center" vertical="top"/>
    </xf>
    <xf numFmtId="3" fontId="8" fillId="0" borderId="3" xfId="0" applyNumberFormat="1" applyFont="1" applyBorder="1" applyAlignment="1">
      <alignment horizontal="center" vertical="top"/>
    </xf>
    <xf numFmtId="0" fontId="0" fillId="0" borderId="3" xfId="0" applyNumberFormat="1" applyFill="1" applyBorder="1" applyAlignment="1">
      <alignment horizontal="center" vertical="top"/>
    </xf>
    <xf numFmtId="232" fontId="8" fillId="0" borderId="3" xfId="0" applyNumberFormat="1" applyFont="1" applyBorder="1" applyAlignment="1">
      <alignment horizontal="center" vertical="top"/>
    </xf>
    <xf numFmtId="4" fontId="8" fillId="0" borderId="3" xfId="0" applyNumberFormat="1" applyFont="1" applyBorder="1" applyAlignment="1">
      <alignment horizontal="center" vertical="top"/>
    </xf>
    <xf numFmtId="49" fontId="8" fillId="0" borderId="3" xfId="0" applyNumberFormat="1" applyFont="1" applyBorder="1" applyAlignment="1">
      <alignment horizontal="center" vertical="top"/>
    </xf>
    <xf numFmtId="3" fontId="8" fillId="0" borderId="5" xfId="15" applyNumberFormat="1" applyFont="1" applyBorder="1" applyAlignment="1">
      <alignment horizontal="center" vertical="top"/>
    </xf>
    <xf numFmtId="0" fontId="8" fillId="0" borderId="3" xfId="0" applyFont="1" applyBorder="1" applyAlignment="1">
      <alignment horizontal="center" vertical="top"/>
    </xf>
    <xf numFmtId="0" fontId="11" fillId="0" borderId="5" xfId="0" applyNumberFormat="1" applyFont="1" applyBorder="1" applyAlignment="1">
      <alignment horizontal="center" vertical="top"/>
    </xf>
    <xf numFmtId="2" fontId="8" fillId="0" borderId="7" xfId="0" applyNumberFormat="1" applyFont="1" applyBorder="1" applyAlignment="1">
      <alignment horizontal="center" vertical="top"/>
    </xf>
    <xf numFmtId="0" fontId="0" fillId="0" borderId="4" xfId="0" applyNumberFormat="1" applyFont="1" applyFill="1" applyBorder="1" applyAlignment="1">
      <alignment horizontal="center" vertical="top"/>
    </xf>
    <xf numFmtId="0" fontId="8" fillId="0" borderId="5" xfId="0" applyFont="1" applyBorder="1" applyAlignment="1">
      <alignment horizontal="center" vertical="top"/>
    </xf>
    <xf numFmtId="0" fontId="6" fillId="0" borderId="15" xfId="0" applyFont="1" applyBorder="1" applyAlignment="1">
      <alignment vertical="top" shrinkToFit="1"/>
    </xf>
    <xf numFmtId="0" fontId="0" fillId="0" borderId="15" xfId="0" applyBorder="1" applyAlignment="1">
      <alignment vertical="top" shrinkToFit="1"/>
    </xf>
    <xf numFmtId="0" fontId="6" fillId="0" borderId="15" xfId="0" applyFont="1" applyFill="1" applyBorder="1" applyAlignment="1">
      <alignment vertical="top" wrapText="1"/>
    </xf>
    <xf numFmtId="0" fontId="0" fillId="0" borderId="15" xfId="0" applyFill="1" applyBorder="1" applyAlignment="1">
      <alignment vertical="top" wrapText="1"/>
    </xf>
    <xf numFmtId="0" fontId="6" fillId="0" borderId="15" xfId="0" applyFont="1" applyFill="1" applyBorder="1" applyAlignment="1">
      <alignment vertical="top" shrinkToFit="1"/>
    </xf>
    <xf numFmtId="0" fontId="0" fillId="0" borderId="15" xfId="0" applyFill="1" applyBorder="1" applyAlignment="1">
      <alignment vertical="top" shrinkToFit="1"/>
    </xf>
    <xf numFmtId="0" fontId="6" fillId="0" borderId="15" xfId="0" applyFont="1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8" xfId="0" applyFont="1" applyFill="1" applyBorder="1" applyAlignment="1">
      <alignment horizontal="center" vertical="top"/>
    </xf>
    <xf numFmtId="0" fontId="0" fillId="0" borderId="14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/>
    </xf>
    <xf numFmtId="49" fontId="6" fillId="0" borderId="17" xfId="0" applyNumberFormat="1" applyFont="1" applyFill="1" applyBorder="1" applyAlignment="1">
      <alignment horizontal="center" vertical="center"/>
    </xf>
    <xf numFmtId="49" fontId="6" fillId="0" borderId="6" xfId="0" applyNumberFormat="1" applyFont="1" applyFill="1" applyBorder="1" applyAlignment="1">
      <alignment horizontal="center" vertical="center"/>
    </xf>
    <xf numFmtId="49" fontId="6" fillId="0" borderId="18" xfId="0" applyNumberFormat="1" applyFont="1" applyFill="1" applyBorder="1" applyAlignment="1">
      <alignment horizontal="center" vertical="center"/>
    </xf>
    <xf numFmtId="0" fontId="0" fillId="0" borderId="19" xfId="0" applyBorder="1" applyAlignment="1">
      <alignment vertical="top" wrapText="1"/>
    </xf>
    <xf numFmtId="0" fontId="0" fillId="0" borderId="20" xfId="0" applyBorder="1" applyAlignment="1">
      <alignment vertical="top"/>
    </xf>
    <xf numFmtId="0" fontId="0" fillId="0" borderId="0" xfId="0" applyAlignment="1">
      <alignment vertical="top" wrapText="1"/>
    </xf>
    <xf numFmtId="0" fontId="0" fillId="0" borderId="8" xfId="0" applyFont="1" applyBorder="1" applyAlignment="1">
      <alignment horizontal="center" vertical="top"/>
    </xf>
    <xf numFmtId="0" fontId="0" fillId="0" borderId="14" xfId="0" applyBorder="1" applyAlignment="1">
      <alignment horizontal="center" vertical="center" textRotation="90" wrapText="1"/>
    </xf>
    <xf numFmtId="0" fontId="0" fillId="0" borderId="7" xfId="0" applyBorder="1" applyAlignment="1">
      <alignment horizontal="center" vertical="center" textRotation="90" wrapText="1"/>
    </xf>
    <xf numFmtId="49" fontId="6" fillId="0" borderId="13" xfId="0" applyNumberFormat="1" applyFont="1" applyBorder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/>
    </xf>
    <xf numFmtId="49" fontId="6" fillId="0" borderId="6" xfId="0" applyNumberFormat="1" applyFont="1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 vertical="center"/>
    </xf>
    <xf numFmtId="0" fontId="0" fillId="0" borderId="21" xfId="0" applyBorder="1" applyAlignment="1">
      <alignment vertical="top"/>
    </xf>
    <xf numFmtId="0" fontId="0" fillId="0" borderId="22" xfId="0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1" xfId="0" applyFont="1" applyBorder="1" applyAlignment="1">
      <alignment vertical="top"/>
    </xf>
    <xf numFmtId="0" fontId="0" fillId="0" borderId="20" xfId="0" applyFont="1" applyBorder="1" applyAlignment="1">
      <alignment vertical="top"/>
    </xf>
    <xf numFmtId="0" fontId="0" fillId="0" borderId="0" xfId="0" applyFont="1" applyBorder="1" applyAlignment="1">
      <alignment vertical="top" wrapText="1"/>
    </xf>
    <xf numFmtId="0" fontId="0" fillId="0" borderId="0" xfId="0" applyFont="1" applyAlignment="1">
      <alignment vertical="top" wrapText="1"/>
    </xf>
    <xf numFmtId="0" fontId="0" fillId="0" borderId="16" xfId="0" applyFont="1" applyBorder="1" applyAlignment="1">
      <alignment vertical="top" wrapText="1"/>
    </xf>
    <xf numFmtId="0" fontId="0" fillId="0" borderId="18" xfId="0" applyFont="1" applyBorder="1" applyAlignment="1">
      <alignment vertical="top"/>
    </xf>
    <xf numFmtId="0" fontId="0" fillId="0" borderId="23" xfId="0" applyFont="1" applyBorder="1" applyAlignment="1">
      <alignment vertical="top"/>
    </xf>
    <xf numFmtId="0" fontId="0" fillId="0" borderId="22" xfId="0" applyFont="1" applyBorder="1" applyAlignment="1">
      <alignment vertical="top" wrapText="1"/>
    </xf>
    <xf numFmtId="0" fontId="0" fillId="0" borderId="14" xfId="0" applyFont="1" applyBorder="1" applyAlignment="1">
      <alignment horizontal="center" vertical="center" textRotation="90" wrapText="1"/>
    </xf>
    <xf numFmtId="0" fontId="0" fillId="0" borderId="7" xfId="0" applyFont="1" applyBorder="1" applyAlignment="1">
      <alignment horizontal="center" vertical="center" textRotation="90" wrapText="1"/>
    </xf>
    <xf numFmtId="3" fontId="8" fillId="5" borderId="5" xfId="0" applyNumberFormat="1" applyFont="1" applyFill="1" applyBorder="1" applyAlignment="1">
      <alignment horizontal="center" vertical="top"/>
    </xf>
    <xf numFmtId="0" fontId="8" fillId="5" borderId="5" xfId="0" applyNumberFormat="1" applyFont="1" applyFill="1" applyBorder="1" applyAlignment="1">
      <alignment horizontal="center" vertical="top"/>
    </xf>
    <xf numFmtId="0" fontId="8" fillId="5" borderId="7" xfId="0" applyNumberFormat="1" applyFont="1" applyFill="1" applyBorder="1" applyAlignment="1">
      <alignment horizontal="center" vertical="top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D18"/>
  <sheetViews>
    <sheetView workbookViewId="0" topLeftCell="A1">
      <pane xSplit="1" ySplit="1" topLeftCell="B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F11" sqref="F11"/>
    </sheetView>
  </sheetViews>
  <sheetFormatPr defaultColWidth="9.33203125" defaultRowHeight="21"/>
  <cols>
    <col min="1" max="1" width="65.83203125" style="0" customWidth="1"/>
    <col min="2" max="4" width="14.83203125" style="54" customWidth="1"/>
  </cols>
  <sheetData>
    <row r="1" spans="1:4" ht="23.25">
      <c r="A1" s="55" t="s">
        <v>269</v>
      </c>
      <c r="B1" s="55"/>
      <c r="C1" s="55"/>
      <c r="D1" s="55"/>
    </row>
    <row r="2" spans="1:4" ht="21">
      <c r="A2" s="56" t="s">
        <v>270</v>
      </c>
      <c r="B2" s="57" t="s">
        <v>271</v>
      </c>
      <c r="C2" s="57" t="s">
        <v>272</v>
      </c>
      <c r="D2" s="57" t="s">
        <v>273</v>
      </c>
    </row>
    <row r="3" spans="1:4" ht="21">
      <c r="A3" s="58" t="s">
        <v>274</v>
      </c>
      <c r="B3" s="1">
        <v>80</v>
      </c>
      <c r="C3" s="1">
        <v>24</v>
      </c>
      <c r="D3" s="1">
        <f>SUM(B3:C3)</f>
        <v>104</v>
      </c>
    </row>
    <row r="4" spans="1:4" ht="21">
      <c r="A4" s="59" t="s">
        <v>11</v>
      </c>
      <c r="B4" s="60">
        <v>34</v>
      </c>
      <c r="C4" s="60">
        <v>8</v>
      </c>
      <c r="D4" s="60">
        <f>SUM(B4:C4)</f>
        <v>42</v>
      </c>
    </row>
    <row r="5" spans="1:4" ht="21">
      <c r="A5" s="59" t="s">
        <v>13</v>
      </c>
      <c r="B5" s="60">
        <v>34</v>
      </c>
      <c r="C5" s="60">
        <v>8</v>
      </c>
      <c r="D5" s="60">
        <f aca="true" t="shared" si="0" ref="D5:D18">SUM(B5:C5)</f>
        <v>42</v>
      </c>
    </row>
    <row r="6" spans="1:4" ht="21">
      <c r="A6" s="59" t="s">
        <v>15</v>
      </c>
      <c r="B6" s="60">
        <v>34</v>
      </c>
      <c r="C6" s="60">
        <v>8</v>
      </c>
      <c r="D6" s="60">
        <f t="shared" si="0"/>
        <v>42</v>
      </c>
    </row>
    <row r="7" spans="1:4" ht="21">
      <c r="A7" s="59" t="s">
        <v>16</v>
      </c>
      <c r="B7" s="60">
        <v>35</v>
      </c>
      <c r="C7" s="60">
        <v>6</v>
      </c>
      <c r="D7" s="60">
        <f t="shared" si="0"/>
        <v>41</v>
      </c>
    </row>
    <row r="8" spans="1:4" ht="21">
      <c r="A8" s="59" t="s">
        <v>17</v>
      </c>
      <c r="B8" s="60">
        <v>34</v>
      </c>
      <c r="C8" s="60">
        <v>8</v>
      </c>
      <c r="D8" s="60">
        <f t="shared" si="0"/>
        <v>42</v>
      </c>
    </row>
    <row r="9" spans="1:4" ht="21">
      <c r="A9" s="59" t="s">
        <v>18</v>
      </c>
      <c r="B9" s="60">
        <v>34</v>
      </c>
      <c r="C9" s="60">
        <v>8</v>
      </c>
      <c r="D9" s="60">
        <f t="shared" si="0"/>
        <v>42</v>
      </c>
    </row>
    <row r="10" spans="1:4" ht="21">
      <c r="A10" s="59" t="s">
        <v>35</v>
      </c>
      <c r="B10" s="252">
        <v>36</v>
      </c>
      <c r="C10" s="252">
        <v>6</v>
      </c>
      <c r="D10" s="60">
        <f t="shared" si="0"/>
        <v>42</v>
      </c>
    </row>
    <row r="11" spans="1:4" ht="21">
      <c r="A11" s="59" t="s">
        <v>19</v>
      </c>
      <c r="B11" s="60">
        <v>5</v>
      </c>
      <c r="C11" s="60">
        <v>2</v>
      </c>
      <c r="D11" s="60">
        <f t="shared" si="0"/>
        <v>7</v>
      </c>
    </row>
    <row r="12" spans="1:4" ht="21">
      <c r="A12" s="59" t="s">
        <v>20</v>
      </c>
      <c r="B12" s="60">
        <v>5</v>
      </c>
      <c r="C12" s="60">
        <v>2</v>
      </c>
      <c r="D12" s="60">
        <f t="shared" si="0"/>
        <v>7</v>
      </c>
    </row>
    <row r="13" spans="1:4" ht="21">
      <c r="A13" s="59" t="s">
        <v>22</v>
      </c>
      <c r="B13" s="60">
        <v>4</v>
      </c>
      <c r="C13" s="60">
        <v>3</v>
      </c>
      <c r="D13" s="60">
        <f t="shared" si="0"/>
        <v>7</v>
      </c>
    </row>
    <row r="14" spans="1:4" ht="21">
      <c r="A14" s="59" t="s">
        <v>23</v>
      </c>
      <c r="B14" s="60">
        <v>3</v>
      </c>
      <c r="C14" s="60">
        <v>4</v>
      </c>
      <c r="D14" s="60">
        <f t="shared" si="0"/>
        <v>7</v>
      </c>
    </row>
    <row r="15" spans="1:4" ht="21">
      <c r="A15" s="59" t="s">
        <v>24</v>
      </c>
      <c r="B15" s="60">
        <v>4</v>
      </c>
      <c r="C15" s="60">
        <v>3</v>
      </c>
      <c r="D15" s="60">
        <f t="shared" si="0"/>
        <v>7</v>
      </c>
    </row>
    <row r="16" spans="1:4" ht="21">
      <c r="A16" s="59" t="s">
        <v>25</v>
      </c>
      <c r="B16" s="60">
        <v>3</v>
      </c>
      <c r="C16" s="60">
        <v>3</v>
      </c>
      <c r="D16" s="60">
        <f t="shared" si="0"/>
        <v>6</v>
      </c>
    </row>
    <row r="17" spans="1:4" ht="21">
      <c r="A17" s="59" t="s">
        <v>27</v>
      </c>
      <c r="B17" s="60">
        <v>5</v>
      </c>
      <c r="C17" s="60">
        <v>3</v>
      </c>
      <c r="D17" s="60">
        <f t="shared" si="0"/>
        <v>8</v>
      </c>
    </row>
    <row r="18" spans="1:4" ht="21">
      <c r="A18" s="61" t="s">
        <v>28</v>
      </c>
      <c r="B18" s="62">
        <v>5</v>
      </c>
      <c r="C18" s="62">
        <v>1</v>
      </c>
      <c r="D18" s="60">
        <f t="shared" si="0"/>
        <v>6</v>
      </c>
    </row>
  </sheetData>
  <printOptions/>
  <pageMargins left="0.7874015748031497" right="0.7874015748031497" top="0.984251968503937" bottom="0.984251968503937" header="0.5118110236220472" footer="0.5118110236220472"/>
  <pageSetup fitToHeight="0" fitToWidth="1" horizontalDpi="600" verticalDpi="600" orientation="portrait" paperSize="9" scale="95" r:id="rId1"/>
  <headerFooter alignWithMargins="0">
    <oddFooter>&amp;L&amp;F&amp;R&amp;A &amp;P/&amp;N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9">
    <tabColor indexed="34"/>
    <pageSetUpPr fitToPage="1"/>
  </sheetPr>
  <dimension ref="A1:M102"/>
  <sheetViews>
    <sheetView zoomScale="90" zoomScaleNormal="90" workbookViewId="0" topLeftCell="A1">
      <pane xSplit="3" ySplit="3" topLeftCell="D4" activePane="bottomRight" state="frozen"/>
      <selection pane="topLeft" activeCell="B14" sqref="B14:B15"/>
      <selection pane="topRight" activeCell="B14" sqref="B14:B15"/>
      <selection pane="bottomLeft" activeCell="B14" sqref="B14:B15"/>
      <selection pane="bottomRight" activeCell="B5" sqref="B5:B6"/>
    </sheetView>
  </sheetViews>
  <sheetFormatPr defaultColWidth="9.33203125" defaultRowHeight="21"/>
  <cols>
    <col min="1" max="1" width="7.33203125" style="137" customWidth="1"/>
    <col min="2" max="2" width="83.83203125" style="0" customWidth="1"/>
    <col min="3" max="5" width="10.33203125" style="138" customWidth="1"/>
    <col min="6" max="6" width="10.16015625" style="54" bestFit="1" customWidth="1"/>
    <col min="7" max="7" width="11.66015625" style="54" customWidth="1"/>
    <col min="8" max="8" width="10.16015625" style="54" bestFit="1" customWidth="1"/>
    <col min="9" max="13" width="9.83203125" style="54" customWidth="1"/>
  </cols>
  <sheetData>
    <row r="1" spans="1:13" ht="23.25">
      <c r="A1" s="112" t="s">
        <v>507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</row>
    <row r="2" spans="1:13" ht="25.5" customHeight="1">
      <c r="A2" s="274" t="s">
        <v>294</v>
      </c>
      <c r="B2" s="275"/>
      <c r="C2" s="272" t="s">
        <v>295</v>
      </c>
      <c r="D2" s="272" t="s">
        <v>296</v>
      </c>
      <c r="E2" s="272" t="s">
        <v>297</v>
      </c>
      <c r="F2" s="271" t="s">
        <v>3</v>
      </c>
      <c r="G2" s="271"/>
      <c r="H2" s="271"/>
      <c r="I2" s="271" t="s">
        <v>4</v>
      </c>
      <c r="J2" s="271"/>
      <c r="K2" s="271"/>
      <c r="L2" s="271"/>
      <c r="M2" s="271"/>
    </row>
    <row r="3" spans="1:13" ht="25.5" customHeight="1">
      <c r="A3" s="276"/>
      <c r="B3" s="277"/>
      <c r="C3" s="273"/>
      <c r="D3" s="273"/>
      <c r="E3" s="273"/>
      <c r="F3" s="114">
        <v>2547</v>
      </c>
      <c r="G3" s="114">
        <v>2548</v>
      </c>
      <c r="H3" s="114">
        <v>2549</v>
      </c>
      <c r="I3" s="114">
        <v>2550</v>
      </c>
      <c r="J3" s="114">
        <v>2551</v>
      </c>
      <c r="K3" s="114">
        <v>2552</v>
      </c>
      <c r="L3" s="114">
        <v>2553</v>
      </c>
      <c r="M3" s="114">
        <v>2554</v>
      </c>
    </row>
    <row r="4" spans="1:13" ht="21">
      <c r="A4" s="115" t="s">
        <v>5</v>
      </c>
      <c r="B4" s="116"/>
      <c r="C4" s="117"/>
      <c r="D4" s="117">
        <v>6.67</v>
      </c>
      <c r="E4" s="117"/>
      <c r="F4" s="117"/>
      <c r="G4" s="117"/>
      <c r="H4" s="117"/>
      <c r="I4" s="117"/>
      <c r="J4" s="117"/>
      <c r="K4" s="117"/>
      <c r="L4" s="117"/>
      <c r="M4" s="117"/>
    </row>
    <row r="5" spans="1:13" ht="21">
      <c r="A5" s="9" t="s">
        <v>9</v>
      </c>
      <c r="B5" s="283" t="s">
        <v>302</v>
      </c>
      <c r="C5" s="118" t="s">
        <v>303</v>
      </c>
      <c r="D5" s="118">
        <v>6.67</v>
      </c>
      <c r="E5" s="6" t="s">
        <v>300</v>
      </c>
      <c r="F5" s="7"/>
      <c r="G5" s="7"/>
      <c r="H5" s="7"/>
      <c r="I5" s="8">
        <v>90</v>
      </c>
      <c r="J5" s="8">
        <v>90</v>
      </c>
      <c r="K5" s="8">
        <v>90</v>
      </c>
      <c r="L5" s="8">
        <v>90</v>
      </c>
      <c r="M5" s="8">
        <v>90</v>
      </c>
    </row>
    <row r="6" spans="1:13" ht="21">
      <c r="A6" s="18"/>
      <c r="B6" s="278"/>
      <c r="C6" s="20"/>
      <c r="D6" s="20"/>
      <c r="E6" s="20" t="s">
        <v>301</v>
      </c>
      <c r="F6" s="22"/>
      <c r="G6" s="22"/>
      <c r="H6" s="22"/>
      <c r="I6" s="51"/>
      <c r="J6" s="22"/>
      <c r="K6" s="22"/>
      <c r="L6" s="22"/>
      <c r="M6" s="22"/>
    </row>
    <row r="7" spans="1:13" ht="21">
      <c r="A7" s="115" t="s">
        <v>31</v>
      </c>
      <c r="B7" s="116"/>
      <c r="C7" s="117"/>
      <c r="D7" s="117">
        <v>31.64</v>
      </c>
      <c r="E7" s="117"/>
      <c r="F7" s="117"/>
      <c r="G7" s="117"/>
      <c r="H7" s="117"/>
      <c r="I7" s="117"/>
      <c r="J7" s="117"/>
      <c r="K7" s="117"/>
      <c r="L7" s="117"/>
      <c r="M7" s="117"/>
    </row>
    <row r="8" spans="1:13" ht="21">
      <c r="A8" s="122" t="s">
        <v>305</v>
      </c>
      <c r="B8" s="123"/>
      <c r="C8" s="124"/>
      <c r="D8" s="124">
        <v>14.98</v>
      </c>
      <c r="E8" s="124"/>
      <c r="F8" s="124"/>
      <c r="G8" s="124"/>
      <c r="H8" s="124"/>
      <c r="I8" s="124"/>
      <c r="J8" s="124"/>
      <c r="K8" s="124"/>
      <c r="L8" s="124"/>
      <c r="M8" s="124"/>
    </row>
    <row r="9" spans="1:13" ht="21">
      <c r="A9" s="9" t="s">
        <v>32</v>
      </c>
      <c r="B9" s="270" t="s">
        <v>306</v>
      </c>
      <c r="C9" s="118" t="s">
        <v>299</v>
      </c>
      <c r="D9" s="118">
        <v>1.66</v>
      </c>
      <c r="E9" s="6" t="s">
        <v>300</v>
      </c>
      <c r="F9" s="7"/>
      <c r="G9" s="7"/>
      <c r="H9" s="7"/>
      <c r="I9" s="8">
        <v>7</v>
      </c>
      <c r="J9" s="8">
        <v>7</v>
      </c>
      <c r="K9" s="8">
        <v>7</v>
      </c>
      <c r="L9" s="8">
        <v>7</v>
      </c>
      <c r="M9" s="8">
        <v>7</v>
      </c>
    </row>
    <row r="10" spans="1:13" ht="21">
      <c r="A10" s="4"/>
      <c r="B10" s="269"/>
      <c r="C10" s="6"/>
      <c r="D10" s="6"/>
      <c r="E10" s="6" t="s">
        <v>301</v>
      </c>
      <c r="F10" s="8">
        <v>7</v>
      </c>
      <c r="G10" s="8">
        <v>7</v>
      </c>
      <c r="H10" s="8">
        <v>7</v>
      </c>
      <c r="I10" s="8"/>
      <c r="J10" s="101"/>
      <c r="K10" s="101"/>
      <c r="L10" s="101"/>
      <c r="M10" s="101"/>
    </row>
    <row r="11" spans="1:13" ht="21">
      <c r="A11" s="9" t="s">
        <v>36</v>
      </c>
      <c r="B11" s="268" t="s">
        <v>307</v>
      </c>
      <c r="C11" s="118" t="s">
        <v>299</v>
      </c>
      <c r="D11" s="118">
        <v>1.66</v>
      </c>
      <c r="E11" s="12" t="s">
        <v>300</v>
      </c>
      <c r="F11" s="13"/>
      <c r="G11" s="13"/>
      <c r="H11" s="13"/>
      <c r="I11" s="14">
        <v>7</v>
      </c>
      <c r="J11" s="14">
        <v>7</v>
      </c>
      <c r="K11" s="14">
        <v>7</v>
      </c>
      <c r="L11" s="14">
        <v>7</v>
      </c>
      <c r="M11" s="14">
        <v>7</v>
      </c>
    </row>
    <row r="12" spans="1:13" ht="21">
      <c r="A12" s="4"/>
      <c r="B12" s="269"/>
      <c r="C12" s="6"/>
      <c r="D12" s="6"/>
      <c r="E12" s="6" t="s">
        <v>301</v>
      </c>
      <c r="F12" s="8">
        <v>7</v>
      </c>
      <c r="G12" s="8">
        <v>7</v>
      </c>
      <c r="H12" s="8">
        <v>7</v>
      </c>
      <c r="I12" s="8"/>
      <c r="J12" s="8"/>
      <c r="K12" s="8"/>
      <c r="L12" s="8"/>
      <c r="M12" s="8"/>
    </row>
    <row r="13" spans="1:13" ht="21">
      <c r="A13" s="9" t="s">
        <v>42</v>
      </c>
      <c r="B13" s="268" t="s">
        <v>309</v>
      </c>
      <c r="C13" s="118" t="s">
        <v>303</v>
      </c>
      <c r="D13" s="118">
        <v>1.66</v>
      </c>
      <c r="E13" s="12" t="s">
        <v>300</v>
      </c>
      <c r="F13" s="13"/>
      <c r="G13" s="13"/>
      <c r="H13" s="13"/>
      <c r="I13" s="39">
        <v>-15</v>
      </c>
      <c r="J13" s="39">
        <v>-13.5</v>
      </c>
      <c r="K13" s="39">
        <v>-13.5</v>
      </c>
      <c r="L13" s="39">
        <v>-13.5</v>
      </c>
      <c r="M13" s="39">
        <v>-13.5</v>
      </c>
    </row>
    <row r="14" spans="1:13" ht="21">
      <c r="A14" s="4"/>
      <c r="B14" s="269"/>
      <c r="C14" s="6"/>
      <c r="D14" s="6"/>
      <c r="E14" s="6" t="s">
        <v>301</v>
      </c>
      <c r="F14" s="8"/>
      <c r="G14" s="8"/>
      <c r="H14" s="49">
        <v>-27.88</v>
      </c>
      <c r="I14" s="127"/>
      <c r="J14" s="8"/>
      <c r="K14" s="8"/>
      <c r="L14" s="8"/>
      <c r="M14" s="8"/>
    </row>
    <row r="15" spans="1:13" ht="21">
      <c r="A15" s="9" t="s">
        <v>46</v>
      </c>
      <c r="B15" s="268" t="s">
        <v>310</v>
      </c>
      <c r="C15" s="118" t="s">
        <v>303</v>
      </c>
      <c r="D15" s="118">
        <v>1.66</v>
      </c>
      <c r="E15" s="12" t="s">
        <v>300</v>
      </c>
      <c r="F15" s="13"/>
      <c r="G15" s="13"/>
      <c r="H15" s="13"/>
      <c r="I15" s="15" t="s">
        <v>62</v>
      </c>
      <c r="J15" s="15" t="s">
        <v>63</v>
      </c>
      <c r="K15" s="15" t="s">
        <v>64</v>
      </c>
      <c r="L15" s="15" t="s">
        <v>65</v>
      </c>
      <c r="M15" s="15" t="s">
        <v>66</v>
      </c>
    </row>
    <row r="16" spans="1:13" ht="21">
      <c r="A16" s="4"/>
      <c r="B16" s="269"/>
      <c r="C16" s="6"/>
      <c r="D16" s="6"/>
      <c r="E16" s="6" t="s">
        <v>301</v>
      </c>
      <c r="F16" s="24" t="s">
        <v>538</v>
      </c>
      <c r="G16" s="24" t="s">
        <v>524</v>
      </c>
      <c r="H16" s="24" t="s">
        <v>283</v>
      </c>
      <c r="I16" s="127"/>
      <c r="J16" s="8"/>
      <c r="K16" s="8"/>
      <c r="L16" s="8"/>
      <c r="M16" s="8"/>
    </row>
    <row r="17" spans="1:13" ht="21">
      <c r="A17" s="9" t="s">
        <v>67</v>
      </c>
      <c r="B17" s="268" t="s">
        <v>311</v>
      </c>
      <c r="C17" s="118" t="s">
        <v>303</v>
      </c>
      <c r="D17" s="118">
        <v>1.66</v>
      </c>
      <c r="E17" s="12" t="s">
        <v>300</v>
      </c>
      <c r="F17" s="13"/>
      <c r="G17" s="13"/>
      <c r="H17" s="13"/>
      <c r="I17" s="15" t="s">
        <v>81</v>
      </c>
      <c r="J17" s="15" t="s">
        <v>82</v>
      </c>
      <c r="K17" s="15" t="s">
        <v>83</v>
      </c>
      <c r="L17" s="15" t="s">
        <v>84</v>
      </c>
      <c r="M17" s="15" t="s">
        <v>84</v>
      </c>
    </row>
    <row r="18" spans="1:13" ht="21">
      <c r="A18" s="4"/>
      <c r="B18" s="269"/>
      <c r="C18" s="6"/>
      <c r="D18" s="6"/>
      <c r="E18" s="6" t="s">
        <v>301</v>
      </c>
      <c r="F18" s="24" t="s">
        <v>544</v>
      </c>
      <c r="G18" s="24" t="s">
        <v>531</v>
      </c>
      <c r="H18" s="24" t="s">
        <v>292</v>
      </c>
      <c r="I18" s="8"/>
      <c r="J18" s="8"/>
      <c r="K18" s="8"/>
      <c r="L18" s="8"/>
      <c r="M18" s="8"/>
    </row>
    <row r="19" spans="1:13" ht="21">
      <c r="A19" s="9" t="s">
        <v>87</v>
      </c>
      <c r="B19" s="268" t="s">
        <v>314</v>
      </c>
      <c r="C19" s="118" t="s">
        <v>315</v>
      </c>
      <c r="D19" s="118"/>
      <c r="E19" s="12" t="s">
        <v>300</v>
      </c>
      <c r="F19" s="13"/>
      <c r="G19" s="13"/>
      <c r="H19" s="13"/>
      <c r="I19" s="14">
        <v>4</v>
      </c>
      <c r="J19" s="14">
        <v>4</v>
      </c>
      <c r="K19" s="14">
        <v>4</v>
      </c>
      <c r="L19" s="14">
        <v>4</v>
      </c>
      <c r="M19" s="15">
        <v>4</v>
      </c>
    </row>
    <row r="20" spans="1:13" ht="21">
      <c r="A20" s="4"/>
      <c r="B20" s="269"/>
      <c r="C20" s="6"/>
      <c r="D20" s="6"/>
      <c r="E20" s="6" t="s">
        <v>301</v>
      </c>
      <c r="F20" s="8">
        <v>3</v>
      </c>
      <c r="G20" s="8">
        <v>3</v>
      </c>
      <c r="H20" s="8">
        <v>3</v>
      </c>
      <c r="I20" s="8"/>
      <c r="J20" s="8"/>
      <c r="K20" s="8"/>
      <c r="L20" s="8"/>
      <c r="M20" s="8"/>
    </row>
    <row r="21" spans="1:13" ht="21">
      <c r="A21" s="9" t="s">
        <v>96</v>
      </c>
      <c r="B21" s="268" t="s">
        <v>321</v>
      </c>
      <c r="C21" s="118" t="s">
        <v>303</v>
      </c>
      <c r="D21" s="118">
        <v>1.67</v>
      </c>
      <c r="E21" s="12" t="s">
        <v>300</v>
      </c>
      <c r="F21" s="13"/>
      <c r="G21" s="13"/>
      <c r="H21" s="13"/>
      <c r="I21" s="14">
        <v>100</v>
      </c>
      <c r="J21" s="14">
        <v>100</v>
      </c>
      <c r="K21" s="14">
        <v>100</v>
      </c>
      <c r="L21" s="14">
        <v>100</v>
      </c>
      <c r="M21" s="14">
        <v>100</v>
      </c>
    </row>
    <row r="22" spans="1:13" ht="21">
      <c r="A22" s="4"/>
      <c r="B22" s="269"/>
      <c r="C22" s="6"/>
      <c r="D22" s="6"/>
      <c r="E22" s="6" t="s">
        <v>301</v>
      </c>
      <c r="F22" s="8">
        <v>100</v>
      </c>
      <c r="G22" s="8">
        <v>100</v>
      </c>
      <c r="H22" s="8">
        <v>100</v>
      </c>
      <c r="I22" s="8"/>
      <c r="J22" s="8"/>
      <c r="K22" s="8"/>
      <c r="L22" s="8"/>
      <c r="M22" s="8"/>
    </row>
    <row r="23" spans="1:13" ht="21">
      <c r="A23" s="9" t="s">
        <v>99</v>
      </c>
      <c r="B23" s="268" t="s">
        <v>322</v>
      </c>
      <c r="C23" s="118" t="s">
        <v>319</v>
      </c>
      <c r="D23" s="118">
        <v>1.67</v>
      </c>
      <c r="E23" s="12" t="s">
        <v>300</v>
      </c>
      <c r="F23" s="13"/>
      <c r="G23" s="13"/>
      <c r="H23" s="13"/>
      <c r="I23" s="14">
        <v>4</v>
      </c>
      <c r="J23" s="14">
        <v>4</v>
      </c>
      <c r="K23" s="14">
        <v>4</v>
      </c>
      <c r="L23" s="14">
        <v>4</v>
      </c>
      <c r="M23" s="14">
        <v>4</v>
      </c>
    </row>
    <row r="24" spans="1:13" ht="21">
      <c r="A24" s="4"/>
      <c r="B24" s="269"/>
      <c r="C24" s="6"/>
      <c r="D24" s="6"/>
      <c r="E24" s="6" t="s">
        <v>301</v>
      </c>
      <c r="F24" s="30">
        <v>3.865</v>
      </c>
      <c r="G24" s="8"/>
      <c r="H24" s="8">
        <v>4.47</v>
      </c>
      <c r="I24" s="8"/>
      <c r="J24" s="8"/>
      <c r="K24" s="8"/>
      <c r="L24" s="8"/>
      <c r="M24" s="8"/>
    </row>
    <row r="25" spans="1:13" ht="21">
      <c r="A25" s="9" t="s">
        <v>105</v>
      </c>
      <c r="B25" s="268" t="s">
        <v>324</v>
      </c>
      <c r="C25" s="118" t="s">
        <v>325</v>
      </c>
      <c r="D25" s="118">
        <v>1.67</v>
      </c>
      <c r="E25" s="12" t="s">
        <v>300</v>
      </c>
      <c r="F25" s="13"/>
      <c r="G25" s="13"/>
      <c r="H25" s="13"/>
      <c r="I25" s="14">
        <v>4</v>
      </c>
      <c r="J25" s="14">
        <v>4</v>
      </c>
      <c r="K25" s="14">
        <v>4</v>
      </c>
      <c r="L25" s="14">
        <v>4</v>
      </c>
      <c r="M25" s="14">
        <v>4</v>
      </c>
    </row>
    <row r="26" spans="1:13" ht="21">
      <c r="A26" s="4"/>
      <c r="B26" s="269"/>
      <c r="C26" s="6"/>
      <c r="D26" s="6"/>
      <c r="E26" s="6" t="s">
        <v>301</v>
      </c>
      <c r="F26" s="8">
        <v>8</v>
      </c>
      <c r="G26" s="8">
        <v>8</v>
      </c>
      <c r="H26" s="8">
        <v>15</v>
      </c>
      <c r="I26" s="8"/>
      <c r="J26" s="8"/>
      <c r="K26" s="8"/>
      <c r="L26" s="8"/>
      <c r="M26" s="8"/>
    </row>
    <row r="27" spans="1:13" ht="21">
      <c r="A27" s="9" t="s">
        <v>109</v>
      </c>
      <c r="B27" s="268" t="s">
        <v>327</v>
      </c>
      <c r="C27" s="118" t="s">
        <v>303</v>
      </c>
      <c r="D27" s="118">
        <v>1.67</v>
      </c>
      <c r="E27" s="12" t="s">
        <v>300</v>
      </c>
      <c r="F27" s="13"/>
      <c r="G27" s="13"/>
      <c r="H27" s="13"/>
      <c r="I27" s="14">
        <v>44</v>
      </c>
      <c r="J27" s="14">
        <v>44</v>
      </c>
      <c r="K27" s="14">
        <v>45</v>
      </c>
      <c r="L27" s="14">
        <v>45</v>
      </c>
      <c r="M27" s="14">
        <v>45</v>
      </c>
    </row>
    <row r="28" spans="1:13" ht="21">
      <c r="A28" s="4"/>
      <c r="B28" s="269"/>
      <c r="C28" s="6"/>
      <c r="D28" s="6"/>
      <c r="E28" s="6" t="s">
        <v>301</v>
      </c>
      <c r="F28" s="30">
        <v>70.2127659574468</v>
      </c>
      <c r="G28" s="30">
        <v>61.904761904761905</v>
      </c>
      <c r="H28" s="30">
        <v>37.41</v>
      </c>
      <c r="I28" s="8"/>
      <c r="J28" s="8"/>
      <c r="K28" s="8"/>
      <c r="L28" s="8"/>
      <c r="M28" s="8"/>
    </row>
    <row r="29" spans="1:13" ht="21">
      <c r="A29" s="122" t="s">
        <v>328</v>
      </c>
      <c r="B29" s="123"/>
      <c r="C29" s="124"/>
      <c r="D29" s="124">
        <v>16.66</v>
      </c>
      <c r="E29" s="124"/>
      <c r="F29" s="124"/>
      <c r="G29" s="124"/>
      <c r="H29" s="124"/>
      <c r="I29" s="124"/>
      <c r="J29" s="124"/>
      <c r="K29" s="124"/>
      <c r="L29" s="124"/>
      <c r="M29" s="124"/>
    </row>
    <row r="30" spans="1:13" ht="21">
      <c r="A30" s="9" t="s">
        <v>115</v>
      </c>
      <c r="B30" s="270" t="s">
        <v>329</v>
      </c>
      <c r="C30" s="118" t="s">
        <v>303</v>
      </c>
      <c r="D30" s="118">
        <v>3.33</v>
      </c>
      <c r="E30" s="6" t="s">
        <v>300</v>
      </c>
      <c r="F30" s="7"/>
      <c r="G30" s="7"/>
      <c r="H30" s="7"/>
      <c r="I30" s="28">
        <v>70</v>
      </c>
      <c r="J30" s="28">
        <v>80</v>
      </c>
      <c r="K30" s="28">
        <v>85</v>
      </c>
      <c r="L30" s="28">
        <v>90</v>
      </c>
      <c r="M30" s="28">
        <v>95</v>
      </c>
    </row>
    <row r="31" spans="1:13" ht="21">
      <c r="A31" s="4"/>
      <c r="B31" s="269"/>
      <c r="C31" s="6"/>
      <c r="D31" s="6"/>
      <c r="E31" s="6" t="s">
        <v>301</v>
      </c>
      <c r="F31" s="30">
        <v>36.36363636363637</v>
      </c>
      <c r="G31" s="30">
        <v>30.76923076923077</v>
      </c>
      <c r="H31" s="30">
        <v>33.33333333333333</v>
      </c>
      <c r="I31" s="8"/>
      <c r="J31" s="8"/>
      <c r="K31" s="8"/>
      <c r="L31" s="8"/>
      <c r="M31" s="8"/>
    </row>
    <row r="32" spans="1:13" ht="21">
      <c r="A32" s="9" t="s">
        <v>117</v>
      </c>
      <c r="B32" s="268" t="s">
        <v>330</v>
      </c>
      <c r="C32" s="118" t="s">
        <v>303</v>
      </c>
      <c r="D32" s="118">
        <v>3.33</v>
      </c>
      <c r="E32" s="12" t="s">
        <v>300</v>
      </c>
      <c r="F32" s="13"/>
      <c r="G32" s="13"/>
      <c r="H32" s="13"/>
      <c r="I32" s="14">
        <v>80</v>
      </c>
      <c r="J32" s="14">
        <v>80</v>
      </c>
      <c r="K32" s="14">
        <v>80</v>
      </c>
      <c r="L32" s="14">
        <v>80</v>
      </c>
      <c r="M32" s="15" t="s">
        <v>120</v>
      </c>
    </row>
    <row r="33" spans="1:13" ht="21">
      <c r="A33" s="4"/>
      <c r="B33" s="269"/>
      <c r="C33" s="6"/>
      <c r="D33" s="6"/>
      <c r="E33" s="6" t="s">
        <v>301</v>
      </c>
      <c r="F33" s="30">
        <v>55.55555555555556</v>
      </c>
      <c r="G33" s="30">
        <v>350</v>
      </c>
      <c r="H33" s="30">
        <v>142.86</v>
      </c>
      <c r="I33" s="8"/>
      <c r="J33" s="8"/>
      <c r="K33" s="8"/>
      <c r="L33" s="8"/>
      <c r="M33" s="8"/>
    </row>
    <row r="34" spans="1:13" ht="21">
      <c r="A34" s="9" t="s">
        <v>123</v>
      </c>
      <c r="B34" s="268" t="s">
        <v>332</v>
      </c>
      <c r="C34" s="118" t="s">
        <v>303</v>
      </c>
      <c r="D34" s="118"/>
      <c r="E34" s="12" t="s">
        <v>300</v>
      </c>
      <c r="F34" s="13"/>
      <c r="G34" s="13"/>
      <c r="H34" s="13"/>
      <c r="I34" s="230"/>
      <c r="J34" s="230"/>
      <c r="K34" s="230"/>
      <c r="L34" s="230"/>
      <c r="M34" s="230"/>
    </row>
    <row r="35" spans="1:13" ht="21">
      <c r="A35" s="4"/>
      <c r="B35" s="269"/>
      <c r="C35" s="6"/>
      <c r="D35" s="6"/>
      <c r="E35" s="6" t="s">
        <v>301</v>
      </c>
      <c r="F35" s="8">
        <v>0</v>
      </c>
      <c r="G35" s="8">
        <v>0</v>
      </c>
      <c r="H35" s="8">
        <v>0</v>
      </c>
      <c r="I35" s="8"/>
      <c r="J35" s="8"/>
      <c r="K35" s="8"/>
      <c r="L35" s="8"/>
      <c r="M35" s="8"/>
    </row>
    <row r="36" spans="1:13" ht="21">
      <c r="A36" s="9" t="s">
        <v>125</v>
      </c>
      <c r="B36" s="268" t="s">
        <v>333</v>
      </c>
      <c r="C36" s="118" t="s">
        <v>303</v>
      </c>
      <c r="D36" s="118">
        <v>3.33</v>
      </c>
      <c r="E36" s="12" t="s">
        <v>300</v>
      </c>
      <c r="F36" s="13"/>
      <c r="G36" s="13"/>
      <c r="H36" s="13"/>
      <c r="I36" s="14">
        <v>6</v>
      </c>
      <c r="J36" s="14">
        <v>6</v>
      </c>
      <c r="K36" s="14">
        <v>6</v>
      </c>
      <c r="L36" s="14">
        <v>6</v>
      </c>
      <c r="M36" s="14">
        <v>6</v>
      </c>
    </row>
    <row r="37" spans="1:13" ht="21">
      <c r="A37" s="4"/>
      <c r="B37" s="269"/>
      <c r="C37" s="6"/>
      <c r="D37" s="6"/>
      <c r="E37" s="6" t="s">
        <v>301</v>
      </c>
      <c r="F37" s="8" t="s">
        <v>119</v>
      </c>
      <c r="G37" s="8">
        <v>30</v>
      </c>
      <c r="H37" s="30">
        <v>5.8544303797468356</v>
      </c>
      <c r="I37" s="8"/>
      <c r="J37" s="8"/>
      <c r="K37" s="8"/>
      <c r="L37" s="8"/>
      <c r="M37" s="8"/>
    </row>
    <row r="38" spans="1:13" ht="21">
      <c r="A38" s="9" t="s">
        <v>130</v>
      </c>
      <c r="B38" s="268" t="s">
        <v>334</v>
      </c>
      <c r="C38" s="118" t="s">
        <v>303</v>
      </c>
      <c r="D38" s="118">
        <v>3.33</v>
      </c>
      <c r="E38" s="12" t="s">
        <v>300</v>
      </c>
      <c r="F38" s="13"/>
      <c r="G38" s="13"/>
      <c r="H38" s="13"/>
      <c r="I38" s="14">
        <v>100</v>
      </c>
      <c r="J38" s="14">
        <v>100</v>
      </c>
      <c r="K38" s="14">
        <v>100</v>
      </c>
      <c r="L38" s="14">
        <v>100</v>
      </c>
      <c r="M38" s="14">
        <v>100</v>
      </c>
    </row>
    <row r="39" spans="1:13" ht="21">
      <c r="A39" s="4"/>
      <c r="B39" s="269"/>
      <c r="C39" s="6"/>
      <c r="D39" s="6"/>
      <c r="E39" s="6" t="s">
        <v>301</v>
      </c>
      <c r="F39" s="8">
        <v>100</v>
      </c>
      <c r="G39" s="8">
        <v>100</v>
      </c>
      <c r="H39" s="8">
        <v>100</v>
      </c>
      <c r="I39" s="8"/>
      <c r="J39" s="8"/>
      <c r="K39" s="8"/>
      <c r="L39" s="8"/>
      <c r="M39" s="8"/>
    </row>
    <row r="40" spans="1:13" ht="21">
      <c r="A40" s="119" t="s">
        <v>335</v>
      </c>
      <c r="B40" s="268" t="s">
        <v>336</v>
      </c>
      <c r="C40" s="120" t="s">
        <v>337</v>
      </c>
      <c r="D40" s="120"/>
      <c r="E40" s="12" t="s">
        <v>300</v>
      </c>
      <c r="F40" s="14">
        <v>1</v>
      </c>
      <c r="G40" s="14">
        <v>2</v>
      </c>
      <c r="H40" s="14">
        <v>3</v>
      </c>
      <c r="I40" s="14">
        <v>3</v>
      </c>
      <c r="J40" s="14">
        <v>3</v>
      </c>
      <c r="K40" s="14">
        <v>3</v>
      </c>
      <c r="L40" s="14">
        <v>3</v>
      </c>
      <c r="M40" s="14">
        <v>3</v>
      </c>
    </row>
    <row r="41" spans="1:13" ht="21">
      <c r="A41" s="18"/>
      <c r="B41" s="278"/>
      <c r="C41" s="20"/>
      <c r="D41" s="20"/>
      <c r="E41" s="20" t="s">
        <v>301</v>
      </c>
      <c r="F41" s="22">
        <v>1</v>
      </c>
      <c r="G41" s="22">
        <v>2</v>
      </c>
      <c r="H41" s="22">
        <v>3</v>
      </c>
      <c r="I41" s="22"/>
      <c r="J41" s="22"/>
      <c r="K41" s="22"/>
      <c r="L41" s="22"/>
      <c r="M41" s="22"/>
    </row>
    <row r="42" spans="1:13" ht="21">
      <c r="A42" s="115" t="s">
        <v>132</v>
      </c>
      <c r="B42" s="116"/>
      <c r="C42" s="117"/>
      <c r="D42" s="117">
        <v>10</v>
      </c>
      <c r="E42" s="117"/>
      <c r="F42" s="117"/>
      <c r="G42" s="117"/>
      <c r="H42" s="117"/>
      <c r="I42" s="117"/>
      <c r="J42" s="117"/>
      <c r="K42" s="117"/>
      <c r="L42" s="117"/>
      <c r="M42" s="117"/>
    </row>
    <row r="43" spans="1:13" ht="21">
      <c r="A43" s="9" t="s">
        <v>138</v>
      </c>
      <c r="B43" s="270" t="s">
        <v>342</v>
      </c>
      <c r="C43" s="118" t="s">
        <v>303</v>
      </c>
      <c r="D43" s="118">
        <v>5</v>
      </c>
      <c r="E43" s="6" t="s">
        <v>300</v>
      </c>
      <c r="F43" s="7"/>
      <c r="G43" s="7"/>
      <c r="H43" s="7"/>
      <c r="I43" s="8">
        <v>60</v>
      </c>
      <c r="J43" s="8">
        <v>65</v>
      </c>
      <c r="K43" s="8">
        <v>70</v>
      </c>
      <c r="L43" s="8">
        <v>70</v>
      </c>
      <c r="M43" s="8">
        <v>70</v>
      </c>
    </row>
    <row r="44" spans="1:13" ht="21">
      <c r="A44" s="4"/>
      <c r="B44" s="269"/>
      <c r="C44" s="6"/>
      <c r="D44" s="6"/>
      <c r="E44" s="6" t="s">
        <v>301</v>
      </c>
      <c r="F44" s="8">
        <v>100</v>
      </c>
      <c r="G44" s="8">
        <v>100</v>
      </c>
      <c r="H44" s="8">
        <v>99.21</v>
      </c>
      <c r="I44" s="8"/>
      <c r="J44" s="8"/>
      <c r="K44" s="8"/>
      <c r="L44" s="8"/>
      <c r="M44" s="8"/>
    </row>
    <row r="45" spans="1:13" ht="21">
      <c r="A45" s="119" t="s">
        <v>141</v>
      </c>
      <c r="B45" s="268" t="s">
        <v>343</v>
      </c>
      <c r="C45" s="120" t="s">
        <v>303</v>
      </c>
      <c r="D45" s="120">
        <v>5</v>
      </c>
      <c r="E45" s="12" t="s">
        <v>300</v>
      </c>
      <c r="F45" s="13"/>
      <c r="G45" s="13"/>
      <c r="H45" s="13"/>
      <c r="I45" s="14">
        <v>99</v>
      </c>
      <c r="J45" s="14">
        <v>99</v>
      </c>
      <c r="K45" s="14">
        <v>99</v>
      </c>
      <c r="L45" s="14">
        <v>99</v>
      </c>
      <c r="M45" s="14">
        <v>99</v>
      </c>
    </row>
    <row r="46" spans="1:13" ht="21">
      <c r="A46" s="18"/>
      <c r="B46" s="278"/>
      <c r="C46" s="20"/>
      <c r="D46" s="20"/>
      <c r="E46" s="20" t="s">
        <v>301</v>
      </c>
      <c r="F46" s="22" t="s">
        <v>119</v>
      </c>
      <c r="G46" s="22" t="s">
        <v>119</v>
      </c>
      <c r="H46" s="51">
        <v>99.68354430379746</v>
      </c>
      <c r="I46" s="22"/>
      <c r="J46" s="22"/>
      <c r="K46" s="22"/>
      <c r="L46" s="22"/>
      <c r="M46" s="22"/>
    </row>
    <row r="47" spans="1:13" ht="21">
      <c r="A47" s="115" t="s">
        <v>143</v>
      </c>
      <c r="B47" s="116"/>
      <c r="C47" s="117"/>
      <c r="D47" s="117">
        <v>10</v>
      </c>
      <c r="E47" s="117"/>
      <c r="F47" s="117"/>
      <c r="G47" s="117"/>
      <c r="H47" s="117"/>
      <c r="I47" s="117"/>
      <c r="J47" s="117"/>
      <c r="K47" s="117"/>
      <c r="L47" s="117"/>
      <c r="M47" s="117"/>
    </row>
    <row r="48" spans="1:13" ht="21">
      <c r="A48" s="9" t="s">
        <v>149</v>
      </c>
      <c r="B48" s="270" t="s">
        <v>347</v>
      </c>
      <c r="C48" s="118" t="s">
        <v>348</v>
      </c>
      <c r="D48" s="118">
        <v>3</v>
      </c>
      <c r="E48" s="6" t="s">
        <v>300</v>
      </c>
      <c r="F48" s="7"/>
      <c r="G48" s="7"/>
      <c r="H48" s="7"/>
      <c r="I48" s="111">
        <v>150000</v>
      </c>
      <c r="J48" s="111">
        <v>160000</v>
      </c>
      <c r="K48" s="111">
        <v>170000</v>
      </c>
      <c r="L48" s="111">
        <v>180000</v>
      </c>
      <c r="M48" s="111">
        <v>190000</v>
      </c>
    </row>
    <row r="49" spans="1:13" ht="21">
      <c r="A49" s="4"/>
      <c r="B49" s="269"/>
      <c r="C49" s="6"/>
      <c r="D49" s="6"/>
      <c r="E49" s="6" t="s">
        <v>301</v>
      </c>
      <c r="F49" s="31" t="s">
        <v>119</v>
      </c>
      <c r="G49" s="49">
        <v>406170.1111111111</v>
      </c>
      <c r="H49" s="31">
        <v>191653.63978634932</v>
      </c>
      <c r="I49" s="31"/>
      <c r="J49" s="8"/>
      <c r="K49" s="8"/>
      <c r="L49" s="8"/>
      <c r="M49" s="8"/>
    </row>
    <row r="50" spans="1:13" ht="21">
      <c r="A50" s="9" t="s">
        <v>151</v>
      </c>
      <c r="B50" s="268" t="s">
        <v>349</v>
      </c>
      <c r="C50" s="118" t="s">
        <v>303</v>
      </c>
      <c r="D50" s="118">
        <v>3</v>
      </c>
      <c r="E50" s="12" t="s">
        <v>300</v>
      </c>
      <c r="F50" s="13"/>
      <c r="G50" s="13"/>
      <c r="H50" s="13"/>
      <c r="I50" s="14">
        <v>65</v>
      </c>
      <c r="J50" s="14">
        <v>65</v>
      </c>
      <c r="K50" s="14">
        <v>70</v>
      </c>
      <c r="L50" s="14">
        <v>70</v>
      </c>
      <c r="M50" s="14">
        <v>70</v>
      </c>
    </row>
    <row r="51" spans="1:13" ht="21">
      <c r="A51" s="4"/>
      <c r="B51" s="269"/>
      <c r="C51" s="6"/>
      <c r="D51" s="6"/>
      <c r="E51" s="6" t="s">
        <v>301</v>
      </c>
      <c r="F51" s="49">
        <v>17.77777777777778</v>
      </c>
      <c r="G51" s="30">
        <v>27.586206896551722</v>
      </c>
      <c r="H51" s="49">
        <v>58.64</v>
      </c>
      <c r="I51" s="30"/>
      <c r="J51" s="8"/>
      <c r="K51" s="8"/>
      <c r="L51" s="8"/>
      <c r="M51" s="8"/>
    </row>
    <row r="52" spans="1:13" ht="21">
      <c r="A52" s="9" t="s">
        <v>154</v>
      </c>
      <c r="B52" s="268" t="s">
        <v>350</v>
      </c>
      <c r="C52" s="118" t="s">
        <v>348</v>
      </c>
      <c r="D52" s="118">
        <v>3</v>
      </c>
      <c r="E52" s="12" t="s">
        <v>300</v>
      </c>
      <c r="F52" s="43"/>
      <c r="G52" s="43"/>
      <c r="H52" s="43"/>
      <c r="I52" s="241">
        <v>30000</v>
      </c>
      <c r="J52" s="241">
        <v>35000</v>
      </c>
      <c r="K52" s="241">
        <v>40000</v>
      </c>
      <c r="L52" s="241">
        <v>45000</v>
      </c>
      <c r="M52" s="241">
        <v>50000</v>
      </c>
    </row>
    <row r="53" spans="1:13" ht="21">
      <c r="A53" s="4"/>
      <c r="B53" s="269"/>
      <c r="C53" s="6"/>
      <c r="D53" s="6"/>
      <c r="E53" s="6" t="s">
        <v>301</v>
      </c>
      <c r="F53" s="31" t="s">
        <v>119</v>
      </c>
      <c r="G53" s="31" t="s">
        <v>119</v>
      </c>
      <c r="H53" s="31">
        <v>64780.62391333333</v>
      </c>
      <c r="I53" s="31"/>
      <c r="J53" s="31"/>
      <c r="K53" s="31"/>
      <c r="L53" s="31"/>
      <c r="M53" s="31"/>
    </row>
    <row r="54" spans="1:13" ht="21">
      <c r="A54" s="9" t="s">
        <v>156</v>
      </c>
      <c r="B54" s="268" t="s">
        <v>351</v>
      </c>
      <c r="C54" s="118" t="s">
        <v>348</v>
      </c>
      <c r="D54" s="118">
        <v>3</v>
      </c>
      <c r="E54" s="12" t="s">
        <v>300</v>
      </c>
      <c r="F54" s="43"/>
      <c r="G54" s="43"/>
      <c r="H54" s="43"/>
      <c r="I54" s="40">
        <v>120000</v>
      </c>
      <c r="J54" s="242">
        <v>125000</v>
      </c>
      <c r="K54" s="242">
        <v>130000</v>
      </c>
      <c r="L54" s="242">
        <v>135000</v>
      </c>
      <c r="M54" s="242">
        <v>140000</v>
      </c>
    </row>
    <row r="55" spans="1:13" ht="21">
      <c r="A55" s="4"/>
      <c r="B55" s="269"/>
      <c r="C55" s="6"/>
      <c r="D55" s="6"/>
      <c r="E55" s="6" t="s">
        <v>301</v>
      </c>
      <c r="F55" s="31" t="s">
        <v>119</v>
      </c>
      <c r="G55" s="31" t="s">
        <v>119</v>
      </c>
      <c r="H55" s="31">
        <v>126873.015873016</v>
      </c>
      <c r="I55" s="31"/>
      <c r="J55" s="31"/>
      <c r="K55" s="31"/>
      <c r="L55" s="31"/>
      <c r="M55" s="31"/>
    </row>
    <row r="56" spans="1:13" ht="21">
      <c r="A56" s="9" t="s">
        <v>158</v>
      </c>
      <c r="B56" s="268" t="s">
        <v>352</v>
      </c>
      <c r="C56" s="118" t="s">
        <v>303</v>
      </c>
      <c r="D56" s="118">
        <v>3</v>
      </c>
      <c r="E56" s="12" t="s">
        <v>300</v>
      </c>
      <c r="F56" s="13"/>
      <c r="G56" s="13"/>
      <c r="H56" s="13"/>
      <c r="I56" s="14">
        <v>50</v>
      </c>
      <c r="J56" s="14">
        <v>50</v>
      </c>
      <c r="K56" s="14">
        <v>50</v>
      </c>
      <c r="L56" s="14">
        <v>50</v>
      </c>
      <c r="M56" s="14">
        <v>50</v>
      </c>
    </row>
    <row r="57" spans="1:13" ht="21">
      <c r="A57" s="4"/>
      <c r="B57" s="269"/>
      <c r="C57" s="6"/>
      <c r="D57" s="6"/>
      <c r="E57" s="6" t="s">
        <v>301</v>
      </c>
      <c r="F57" s="163">
        <v>40.741</v>
      </c>
      <c r="G57" s="172">
        <v>34.48</v>
      </c>
      <c r="H57" s="133">
        <v>70</v>
      </c>
      <c r="I57" s="127"/>
      <c r="J57" s="8"/>
      <c r="K57" s="8"/>
      <c r="L57" s="8"/>
      <c r="M57" s="8"/>
    </row>
    <row r="58" spans="1:13" ht="21">
      <c r="A58" s="9" t="s">
        <v>161</v>
      </c>
      <c r="B58" s="268" t="s">
        <v>353</v>
      </c>
      <c r="C58" s="118" t="s">
        <v>303</v>
      </c>
      <c r="D58" s="118">
        <v>3</v>
      </c>
      <c r="E58" s="12" t="s">
        <v>300</v>
      </c>
      <c r="F58" s="13"/>
      <c r="G58" s="13"/>
      <c r="H58" s="13"/>
      <c r="I58" s="14">
        <v>50</v>
      </c>
      <c r="J58" s="14">
        <v>50</v>
      </c>
      <c r="K58" s="14">
        <v>50</v>
      </c>
      <c r="L58" s="14">
        <v>50</v>
      </c>
      <c r="M58" s="14">
        <v>50</v>
      </c>
    </row>
    <row r="59" spans="1:13" ht="21">
      <c r="A59" s="4"/>
      <c r="B59" s="269"/>
      <c r="C59" s="6"/>
      <c r="D59" s="6"/>
      <c r="E59" s="6" t="s">
        <v>301</v>
      </c>
      <c r="F59" s="30">
        <v>33.333</v>
      </c>
      <c r="G59" s="8">
        <v>24.14</v>
      </c>
      <c r="H59" s="49">
        <v>16.67</v>
      </c>
      <c r="I59" s="127"/>
      <c r="J59" s="8"/>
      <c r="K59" s="8"/>
      <c r="L59" s="8"/>
      <c r="M59" s="8"/>
    </row>
    <row r="60" spans="1:13" ht="21">
      <c r="A60" s="9" t="s">
        <v>165</v>
      </c>
      <c r="B60" s="268" t="s">
        <v>354</v>
      </c>
      <c r="C60" s="118" t="s">
        <v>303</v>
      </c>
      <c r="D60" s="118">
        <v>3</v>
      </c>
      <c r="E60" s="12" t="s">
        <v>300</v>
      </c>
      <c r="F60" s="13"/>
      <c r="G60" s="13"/>
      <c r="H60" s="13"/>
      <c r="I60" s="14">
        <v>1</v>
      </c>
      <c r="J60" s="14">
        <v>1</v>
      </c>
      <c r="K60" s="14">
        <v>1</v>
      </c>
      <c r="L60" s="14">
        <v>1</v>
      </c>
      <c r="M60" s="15" t="s">
        <v>168</v>
      </c>
    </row>
    <row r="61" spans="1:13" ht="21">
      <c r="A61" s="4"/>
      <c r="B61" s="269"/>
      <c r="C61" s="6"/>
      <c r="D61" s="6"/>
      <c r="E61" s="6" t="s">
        <v>301</v>
      </c>
      <c r="F61" s="31" t="s">
        <v>119</v>
      </c>
      <c r="G61" s="31" t="s">
        <v>119</v>
      </c>
      <c r="H61" s="30">
        <v>0.33</v>
      </c>
      <c r="I61" s="30"/>
      <c r="J61" s="8"/>
      <c r="K61" s="8"/>
      <c r="L61" s="8"/>
      <c r="M61" s="8"/>
    </row>
    <row r="62" spans="1:13" ht="21">
      <c r="A62" s="9" t="s">
        <v>169</v>
      </c>
      <c r="B62" s="268" t="s">
        <v>355</v>
      </c>
      <c r="C62" s="118" t="s">
        <v>303</v>
      </c>
      <c r="D62" s="118">
        <v>3</v>
      </c>
      <c r="E62" s="12" t="s">
        <v>300</v>
      </c>
      <c r="F62" s="13"/>
      <c r="G62" s="13"/>
      <c r="H62" s="13"/>
      <c r="I62" s="14">
        <v>60</v>
      </c>
      <c r="J62" s="14">
        <v>60</v>
      </c>
      <c r="K62" s="14">
        <v>60</v>
      </c>
      <c r="L62" s="14">
        <v>60</v>
      </c>
      <c r="M62" s="14">
        <v>60</v>
      </c>
    </row>
    <row r="63" spans="1:13" ht="21">
      <c r="A63" s="4"/>
      <c r="B63" s="269"/>
      <c r="C63" s="6"/>
      <c r="D63" s="6"/>
      <c r="E63" s="6" t="s">
        <v>301</v>
      </c>
      <c r="F63" s="31" t="s">
        <v>119</v>
      </c>
      <c r="G63" s="31" t="s">
        <v>119</v>
      </c>
      <c r="H63" s="30">
        <v>53.333333333333336</v>
      </c>
      <c r="I63" s="127"/>
      <c r="J63" s="8"/>
      <c r="K63" s="8"/>
      <c r="L63" s="8"/>
      <c r="M63" s="8"/>
    </row>
    <row r="64" spans="1:13" ht="21">
      <c r="A64" s="122" t="s">
        <v>359</v>
      </c>
      <c r="B64" s="123"/>
      <c r="C64" s="124"/>
      <c r="D64" s="124">
        <v>10</v>
      </c>
      <c r="E64" s="124"/>
      <c r="F64" s="124"/>
      <c r="G64" s="124"/>
      <c r="H64" s="124"/>
      <c r="I64" s="124"/>
      <c r="J64" s="124"/>
      <c r="K64" s="124"/>
      <c r="L64" s="124"/>
      <c r="M64" s="124"/>
    </row>
    <row r="65" spans="1:13" ht="21">
      <c r="A65" s="9" t="s">
        <v>172</v>
      </c>
      <c r="B65" s="283" t="s">
        <v>360</v>
      </c>
      <c r="C65" s="118" t="s">
        <v>303</v>
      </c>
      <c r="D65" s="118">
        <v>10</v>
      </c>
      <c r="E65" s="6" t="s">
        <v>300</v>
      </c>
      <c r="F65" s="7"/>
      <c r="G65" s="7"/>
      <c r="H65" s="7"/>
      <c r="I65" s="8">
        <v>15</v>
      </c>
      <c r="J65" s="8">
        <v>15</v>
      </c>
      <c r="K65" s="8">
        <v>15</v>
      </c>
      <c r="L65" s="8">
        <v>15</v>
      </c>
      <c r="M65" s="8">
        <v>15</v>
      </c>
    </row>
    <row r="66" spans="1:13" ht="21">
      <c r="A66" s="18"/>
      <c r="B66" s="278"/>
      <c r="C66" s="20"/>
      <c r="D66" s="20"/>
      <c r="E66" s="20" t="s">
        <v>301</v>
      </c>
      <c r="F66" s="51">
        <v>2.7777777777777777</v>
      </c>
      <c r="G66" s="51">
        <v>10.81081081081081</v>
      </c>
      <c r="H66" s="135">
        <v>12.5</v>
      </c>
      <c r="I66" s="51"/>
      <c r="J66" s="22"/>
      <c r="K66" s="22"/>
      <c r="L66" s="22"/>
      <c r="M66" s="22"/>
    </row>
    <row r="67" spans="1:13" ht="21">
      <c r="A67" s="115" t="s">
        <v>179</v>
      </c>
      <c r="B67" s="116"/>
      <c r="C67" s="117"/>
      <c r="D67" s="117">
        <v>7.5</v>
      </c>
      <c r="E67" s="117"/>
      <c r="F67" s="117"/>
      <c r="G67" s="117"/>
      <c r="H67" s="117"/>
      <c r="I67" s="117"/>
      <c r="J67" s="117"/>
      <c r="K67" s="117"/>
      <c r="L67" s="117"/>
      <c r="M67" s="117"/>
    </row>
    <row r="68" spans="1:13" ht="21">
      <c r="A68" s="9" t="s">
        <v>182</v>
      </c>
      <c r="B68" s="270" t="s">
        <v>363</v>
      </c>
      <c r="C68" s="118" t="s">
        <v>303</v>
      </c>
      <c r="D68" s="118">
        <v>2.5</v>
      </c>
      <c r="E68" s="6" t="s">
        <v>300</v>
      </c>
      <c r="F68" s="7"/>
      <c r="G68" s="7"/>
      <c r="H68" s="7"/>
      <c r="I68" s="8">
        <v>30</v>
      </c>
      <c r="J68" s="8">
        <v>30</v>
      </c>
      <c r="K68" s="8">
        <v>30</v>
      </c>
      <c r="L68" s="8">
        <v>30</v>
      </c>
      <c r="M68" s="8">
        <v>30</v>
      </c>
    </row>
    <row r="69" spans="1:13" ht="42" customHeight="1">
      <c r="A69" s="4"/>
      <c r="B69" s="269"/>
      <c r="C69" s="6"/>
      <c r="D69" s="6"/>
      <c r="E69" s="6" t="s">
        <v>301</v>
      </c>
      <c r="F69" s="30">
        <v>5.555555555555555</v>
      </c>
      <c r="G69" s="30">
        <v>2.7027027027027026</v>
      </c>
      <c r="H69" s="30">
        <v>47.5</v>
      </c>
      <c r="I69" s="127"/>
      <c r="J69" s="8"/>
      <c r="K69" s="8"/>
      <c r="L69" s="8"/>
      <c r="M69" s="8"/>
    </row>
    <row r="70" spans="1:13" ht="21">
      <c r="A70" s="9" t="s">
        <v>189</v>
      </c>
      <c r="B70" s="268" t="s">
        <v>364</v>
      </c>
      <c r="C70" s="118" t="s">
        <v>303</v>
      </c>
      <c r="D70" s="118">
        <v>2.5</v>
      </c>
      <c r="E70" s="12" t="s">
        <v>300</v>
      </c>
      <c r="F70" s="13"/>
      <c r="G70" s="13"/>
      <c r="H70" s="13"/>
      <c r="I70" s="14">
        <v>30</v>
      </c>
      <c r="J70" s="14">
        <v>30</v>
      </c>
      <c r="K70" s="14">
        <v>30</v>
      </c>
      <c r="L70" s="14">
        <v>30</v>
      </c>
      <c r="M70" s="14">
        <v>30</v>
      </c>
    </row>
    <row r="71" spans="1:13" ht="21">
      <c r="A71" s="4"/>
      <c r="B71" s="269"/>
      <c r="C71" s="6"/>
      <c r="D71" s="6"/>
      <c r="E71" s="6" t="s">
        <v>301</v>
      </c>
      <c r="F71" s="163">
        <f>8/27*100</f>
        <v>29.629629629629626</v>
      </c>
      <c r="G71" s="162">
        <f>9/29*100</f>
        <v>31.03448275862069</v>
      </c>
      <c r="H71" s="49">
        <v>23.333333333333332</v>
      </c>
      <c r="I71" s="49"/>
      <c r="J71" s="8"/>
      <c r="K71" s="8"/>
      <c r="L71" s="8"/>
      <c r="M71" s="8"/>
    </row>
    <row r="72" spans="1:13" ht="21">
      <c r="A72" s="9" t="s">
        <v>191</v>
      </c>
      <c r="B72" s="268" t="s">
        <v>365</v>
      </c>
      <c r="C72" s="118" t="s">
        <v>303</v>
      </c>
      <c r="D72" s="118">
        <v>2.5</v>
      </c>
      <c r="E72" s="12" t="s">
        <v>300</v>
      </c>
      <c r="F72" s="13"/>
      <c r="G72" s="13"/>
      <c r="H72" s="13"/>
      <c r="I72" s="14">
        <v>80</v>
      </c>
      <c r="J72" s="14">
        <v>80</v>
      </c>
      <c r="K72" s="14">
        <v>80</v>
      </c>
      <c r="L72" s="14">
        <v>80</v>
      </c>
      <c r="M72" s="14">
        <v>80</v>
      </c>
    </row>
    <row r="73" spans="1:13" ht="21">
      <c r="A73" s="4"/>
      <c r="B73" s="269"/>
      <c r="C73" s="6"/>
      <c r="D73" s="6"/>
      <c r="E73" s="6" t="s">
        <v>301</v>
      </c>
      <c r="F73" s="8" t="s">
        <v>119</v>
      </c>
      <c r="G73" s="8">
        <v>81.11</v>
      </c>
      <c r="H73" s="8">
        <v>81.95</v>
      </c>
      <c r="I73" s="8"/>
      <c r="J73" s="8"/>
      <c r="K73" s="8"/>
      <c r="L73" s="8"/>
      <c r="M73" s="8"/>
    </row>
    <row r="74" spans="1:13" ht="21">
      <c r="A74" s="119" t="s">
        <v>199</v>
      </c>
      <c r="B74" s="268" t="s">
        <v>369</v>
      </c>
      <c r="C74" s="120" t="s">
        <v>303</v>
      </c>
      <c r="D74" s="120"/>
      <c r="E74" s="12" t="s">
        <v>300</v>
      </c>
      <c r="F74" s="13"/>
      <c r="G74" s="13"/>
      <c r="H74" s="13"/>
      <c r="I74" s="230"/>
      <c r="J74" s="230"/>
      <c r="K74" s="230"/>
      <c r="L74" s="230"/>
      <c r="M74" s="230"/>
    </row>
    <row r="75" spans="1:13" ht="21">
      <c r="A75" s="18"/>
      <c r="B75" s="278"/>
      <c r="C75" s="20"/>
      <c r="D75" s="20"/>
      <c r="E75" s="20" t="s">
        <v>301</v>
      </c>
      <c r="F75" s="22" t="s">
        <v>119</v>
      </c>
      <c r="G75" s="22" t="s">
        <v>119</v>
      </c>
      <c r="H75" s="22" t="s">
        <v>119</v>
      </c>
      <c r="I75" s="22"/>
      <c r="J75" s="22"/>
      <c r="K75" s="22"/>
      <c r="L75" s="22"/>
      <c r="M75" s="22"/>
    </row>
    <row r="76" spans="1:13" ht="21">
      <c r="A76" s="115" t="s">
        <v>209</v>
      </c>
      <c r="B76" s="116"/>
      <c r="C76" s="117"/>
      <c r="D76" s="117">
        <v>10.72</v>
      </c>
      <c r="E76" s="117"/>
      <c r="F76" s="117"/>
      <c r="G76" s="117"/>
      <c r="H76" s="117"/>
      <c r="I76" s="117"/>
      <c r="J76" s="117"/>
      <c r="K76" s="117"/>
      <c r="L76" s="117"/>
      <c r="M76" s="117"/>
    </row>
    <row r="77" spans="1:13" ht="21">
      <c r="A77" s="9" t="s">
        <v>210</v>
      </c>
      <c r="B77" s="270" t="s">
        <v>388</v>
      </c>
      <c r="C77" s="118" t="s">
        <v>315</v>
      </c>
      <c r="D77" s="118">
        <v>1.53</v>
      </c>
      <c r="E77" s="6" t="s">
        <v>300</v>
      </c>
      <c r="F77" s="7"/>
      <c r="G77" s="7"/>
      <c r="H77" s="7"/>
      <c r="I77" s="8">
        <v>4</v>
      </c>
      <c r="J77" s="8">
        <v>4</v>
      </c>
      <c r="K77" s="8">
        <v>4</v>
      </c>
      <c r="L77" s="8">
        <v>4</v>
      </c>
      <c r="M77" s="8">
        <v>4</v>
      </c>
    </row>
    <row r="78" spans="1:13" ht="21">
      <c r="A78" s="4"/>
      <c r="B78" s="269"/>
      <c r="C78" s="6"/>
      <c r="D78" s="6"/>
      <c r="E78" s="6" t="s">
        <v>301</v>
      </c>
      <c r="F78" s="8" t="s">
        <v>119</v>
      </c>
      <c r="G78" s="8" t="s">
        <v>119</v>
      </c>
      <c r="H78" s="8" t="s">
        <v>119</v>
      </c>
      <c r="I78" s="8"/>
      <c r="J78" s="8"/>
      <c r="K78" s="8"/>
      <c r="L78" s="8"/>
      <c r="M78" s="8"/>
    </row>
    <row r="79" spans="1:13" ht="21">
      <c r="A79" s="9" t="s">
        <v>212</v>
      </c>
      <c r="B79" s="268" t="s">
        <v>389</v>
      </c>
      <c r="C79" s="118" t="s">
        <v>299</v>
      </c>
      <c r="D79" s="118">
        <v>1.53</v>
      </c>
      <c r="E79" s="12" t="s">
        <v>300</v>
      </c>
      <c r="F79" s="13"/>
      <c r="G79" s="13"/>
      <c r="H79" s="13"/>
      <c r="I79" s="14">
        <v>3</v>
      </c>
      <c r="J79" s="14">
        <v>3</v>
      </c>
      <c r="K79" s="14">
        <v>3</v>
      </c>
      <c r="L79" s="14">
        <v>3</v>
      </c>
      <c r="M79" s="14">
        <v>3</v>
      </c>
    </row>
    <row r="80" spans="1:13" ht="21">
      <c r="A80" s="4"/>
      <c r="B80" s="269"/>
      <c r="C80" s="6"/>
      <c r="D80" s="6"/>
      <c r="E80" s="6" t="s">
        <v>301</v>
      </c>
      <c r="F80" s="8" t="s">
        <v>119</v>
      </c>
      <c r="G80" s="8" t="s">
        <v>119</v>
      </c>
      <c r="H80" s="8" t="s">
        <v>119</v>
      </c>
      <c r="I80" s="8"/>
      <c r="J80" s="8"/>
      <c r="K80" s="8"/>
      <c r="L80" s="8"/>
      <c r="M80" s="8"/>
    </row>
    <row r="81" spans="1:13" ht="21">
      <c r="A81" s="9" t="s">
        <v>216</v>
      </c>
      <c r="B81" s="268" t="s">
        <v>391</v>
      </c>
      <c r="C81" s="118" t="s">
        <v>299</v>
      </c>
      <c r="D81" s="118">
        <v>1.53</v>
      </c>
      <c r="E81" s="12" t="s">
        <v>300</v>
      </c>
      <c r="F81" s="13"/>
      <c r="G81" s="13"/>
      <c r="H81" s="13"/>
      <c r="I81" s="14">
        <v>5</v>
      </c>
      <c r="J81" s="14">
        <v>5</v>
      </c>
      <c r="K81" s="14">
        <v>5</v>
      </c>
      <c r="L81" s="14">
        <v>5</v>
      </c>
      <c r="M81" s="14">
        <v>5</v>
      </c>
    </row>
    <row r="82" spans="1:13" ht="21">
      <c r="A82" s="4"/>
      <c r="B82" s="269"/>
      <c r="C82" s="6"/>
      <c r="D82" s="6"/>
      <c r="E82" s="6" t="s">
        <v>301</v>
      </c>
      <c r="F82" s="8" t="s">
        <v>119</v>
      </c>
      <c r="G82" s="8" t="s">
        <v>119</v>
      </c>
      <c r="H82" s="8" t="s">
        <v>119</v>
      </c>
      <c r="I82" s="8"/>
      <c r="J82" s="8"/>
      <c r="K82" s="8"/>
      <c r="L82" s="8"/>
      <c r="M82" s="8"/>
    </row>
    <row r="83" spans="1:13" ht="21">
      <c r="A83" s="9" t="s">
        <v>225</v>
      </c>
      <c r="B83" s="268" t="s">
        <v>395</v>
      </c>
      <c r="C83" s="118" t="s">
        <v>299</v>
      </c>
      <c r="D83" s="118">
        <v>1.53</v>
      </c>
      <c r="E83" s="12" t="s">
        <v>300</v>
      </c>
      <c r="F83" s="13"/>
      <c r="G83" s="13"/>
      <c r="H83" s="13"/>
      <c r="I83" s="14">
        <v>5</v>
      </c>
      <c r="J83" s="14">
        <v>5</v>
      </c>
      <c r="K83" s="14">
        <v>5</v>
      </c>
      <c r="L83" s="14">
        <v>5</v>
      </c>
      <c r="M83" s="14">
        <v>5</v>
      </c>
    </row>
    <row r="84" spans="1:13" ht="21">
      <c r="A84" s="4"/>
      <c r="B84" s="269"/>
      <c r="C84" s="6"/>
      <c r="D84" s="6"/>
      <c r="E84" s="6" t="s">
        <v>301</v>
      </c>
      <c r="F84" s="8" t="s">
        <v>119</v>
      </c>
      <c r="G84" s="8" t="s">
        <v>119</v>
      </c>
      <c r="H84" s="8" t="s">
        <v>119</v>
      </c>
      <c r="I84" s="8"/>
      <c r="J84" s="8"/>
      <c r="K84" s="8"/>
      <c r="L84" s="8"/>
      <c r="M84" s="8"/>
    </row>
    <row r="85" spans="1:13" ht="21">
      <c r="A85" s="9" t="s">
        <v>229</v>
      </c>
      <c r="B85" s="268" t="s">
        <v>397</v>
      </c>
      <c r="C85" s="118" t="s">
        <v>303</v>
      </c>
      <c r="D85" s="118">
        <v>1.54</v>
      </c>
      <c r="E85" s="12" t="s">
        <v>300</v>
      </c>
      <c r="F85" s="13"/>
      <c r="G85" s="13"/>
      <c r="H85" s="13"/>
      <c r="I85" s="14">
        <v>60</v>
      </c>
      <c r="J85" s="14">
        <v>60</v>
      </c>
      <c r="K85" s="14">
        <v>60</v>
      </c>
      <c r="L85" s="14">
        <v>60</v>
      </c>
      <c r="M85" s="14">
        <v>60</v>
      </c>
    </row>
    <row r="86" spans="1:13" ht="21">
      <c r="A86" s="4"/>
      <c r="B86" s="269"/>
      <c r="C86" s="6"/>
      <c r="D86" s="6"/>
      <c r="E86" s="6" t="s">
        <v>301</v>
      </c>
      <c r="F86" s="30">
        <v>37.03703703703704</v>
      </c>
      <c r="G86" s="30">
        <v>48.28</v>
      </c>
      <c r="H86" s="30">
        <v>43.33</v>
      </c>
      <c r="I86" s="30"/>
      <c r="J86" s="8"/>
      <c r="K86" s="8"/>
      <c r="L86" s="8"/>
      <c r="M86" s="8"/>
    </row>
    <row r="87" spans="1:13" ht="21">
      <c r="A87" s="9" t="s">
        <v>231</v>
      </c>
      <c r="B87" s="268" t="s">
        <v>398</v>
      </c>
      <c r="C87" s="118" t="s">
        <v>348</v>
      </c>
      <c r="D87" s="118">
        <v>1.53</v>
      </c>
      <c r="E87" s="12" t="s">
        <v>300</v>
      </c>
      <c r="F87" s="13"/>
      <c r="G87" s="13"/>
      <c r="H87" s="13"/>
      <c r="I87" s="244">
        <v>30000</v>
      </c>
      <c r="J87" s="244">
        <v>32000</v>
      </c>
      <c r="K87" s="244">
        <v>32000</v>
      </c>
      <c r="L87" s="244">
        <v>35000</v>
      </c>
      <c r="M87" s="244">
        <v>35000</v>
      </c>
    </row>
    <row r="88" spans="1:13" ht="21">
      <c r="A88" s="4"/>
      <c r="B88" s="269"/>
      <c r="C88" s="6"/>
      <c r="D88" s="6"/>
      <c r="E88" s="6" t="s">
        <v>301</v>
      </c>
      <c r="F88" s="31">
        <v>19482.566944444447</v>
      </c>
      <c r="G88" s="31">
        <v>28050.214054054057</v>
      </c>
      <c r="H88" s="31">
        <v>11606.3465</v>
      </c>
      <c r="I88" s="133"/>
      <c r="J88" s="8"/>
      <c r="K88" s="8"/>
      <c r="L88" s="8"/>
      <c r="M88" s="8"/>
    </row>
    <row r="89" spans="1:13" ht="21">
      <c r="A89" s="9" t="s">
        <v>234</v>
      </c>
      <c r="B89" s="268" t="s">
        <v>399</v>
      </c>
      <c r="C89" s="118" t="s">
        <v>303</v>
      </c>
      <c r="D89" s="118">
        <v>1.53</v>
      </c>
      <c r="E89" s="12" t="s">
        <v>300</v>
      </c>
      <c r="F89" s="13"/>
      <c r="G89" s="13"/>
      <c r="H89" s="13"/>
      <c r="I89" s="14">
        <v>100</v>
      </c>
      <c r="J89" s="14">
        <v>100</v>
      </c>
      <c r="K89" s="14">
        <v>100</v>
      </c>
      <c r="L89" s="14">
        <v>100</v>
      </c>
      <c r="M89" s="14">
        <v>100</v>
      </c>
    </row>
    <row r="90" spans="1:13" ht="21">
      <c r="A90" s="4"/>
      <c r="B90" s="269"/>
      <c r="C90" s="6"/>
      <c r="D90" s="6"/>
      <c r="E90" s="6" t="s">
        <v>301</v>
      </c>
      <c r="F90" s="8">
        <v>100</v>
      </c>
      <c r="G90" s="8">
        <v>100</v>
      </c>
      <c r="H90" s="8">
        <v>100</v>
      </c>
      <c r="I90" s="8"/>
      <c r="J90" s="8"/>
      <c r="K90" s="8"/>
      <c r="L90" s="8"/>
      <c r="M90" s="8"/>
    </row>
    <row r="91" spans="1:13" ht="21">
      <c r="A91" s="9" t="s">
        <v>236</v>
      </c>
      <c r="B91" s="268" t="s">
        <v>400</v>
      </c>
      <c r="C91" s="118" t="s">
        <v>299</v>
      </c>
      <c r="D91" s="118">
        <v>1.53</v>
      </c>
      <c r="E91" s="12" t="s">
        <v>300</v>
      </c>
      <c r="F91" s="13"/>
      <c r="G91" s="13"/>
      <c r="H91" s="13"/>
      <c r="I91" s="14">
        <v>3</v>
      </c>
      <c r="J91" s="14">
        <v>3</v>
      </c>
      <c r="K91" s="14">
        <v>3</v>
      </c>
      <c r="L91" s="14">
        <v>3</v>
      </c>
      <c r="M91" s="14">
        <v>3</v>
      </c>
    </row>
    <row r="92" spans="1:13" ht="21">
      <c r="A92" s="4"/>
      <c r="B92" s="269"/>
      <c r="C92" s="6"/>
      <c r="D92" s="6"/>
      <c r="E92" s="6" t="s">
        <v>301</v>
      </c>
      <c r="F92" s="8">
        <v>3</v>
      </c>
      <c r="G92" s="8">
        <v>3</v>
      </c>
      <c r="H92" s="8">
        <v>3</v>
      </c>
      <c r="I92" s="8"/>
      <c r="J92" s="8"/>
      <c r="K92" s="8"/>
      <c r="L92" s="8"/>
      <c r="M92" s="8"/>
    </row>
    <row r="93" spans="1:13" ht="21">
      <c r="A93" s="119" t="s">
        <v>401</v>
      </c>
      <c r="B93" s="268" t="s">
        <v>402</v>
      </c>
      <c r="C93" s="120" t="s">
        <v>403</v>
      </c>
      <c r="D93" s="120"/>
      <c r="E93" s="12" t="s">
        <v>300</v>
      </c>
      <c r="F93" s="13"/>
      <c r="G93" s="13"/>
      <c r="H93" s="13"/>
      <c r="I93" s="13"/>
      <c r="J93" s="13"/>
      <c r="K93" s="13"/>
      <c r="L93" s="13"/>
      <c r="M93" s="136"/>
    </row>
    <row r="94" spans="1:13" ht="21">
      <c r="A94" s="18"/>
      <c r="B94" s="278"/>
      <c r="C94" s="20"/>
      <c r="D94" s="20"/>
      <c r="E94" s="20" t="s">
        <v>301</v>
      </c>
      <c r="F94" s="22" t="s">
        <v>119</v>
      </c>
      <c r="G94" s="22" t="s">
        <v>119</v>
      </c>
      <c r="H94" s="22">
        <v>1</v>
      </c>
      <c r="I94" s="22"/>
      <c r="J94" s="22"/>
      <c r="K94" s="22"/>
      <c r="L94" s="22"/>
      <c r="M94" s="22"/>
    </row>
    <row r="95" spans="1:13" ht="21">
      <c r="A95" s="115" t="s">
        <v>251</v>
      </c>
      <c r="B95" s="116"/>
      <c r="C95" s="117"/>
      <c r="D95" s="117">
        <v>0</v>
      </c>
      <c r="E95" s="117"/>
      <c r="F95" s="117"/>
      <c r="G95" s="117"/>
      <c r="H95" s="117"/>
      <c r="I95" s="117"/>
      <c r="J95" s="117"/>
      <c r="K95" s="117"/>
      <c r="L95" s="117"/>
      <c r="M95" s="117"/>
    </row>
    <row r="96" spans="1:13" ht="21">
      <c r="A96" s="9" t="s">
        <v>258</v>
      </c>
      <c r="B96" s="283" t="s">
        <v>413</v>
      </c>
      <c r="C96" s="118" t="s">
        <v>299</v>
      </c>
      <c r="D96" s="118"/>
      <c r="E96" s="6" t="s">
        <v>300</v>
      </c>
      <c r="F96" s="140"/>
      <c r="G96" s="140"/>
      <c r="H96" s="140"/>
      <c r="I96" s="140"/>
      <c r="J96" s="140"/>
      <c r="K96" s="140"/>
      <c r="L96" s="140"/>
      <c r="M96" s="140"/>
    </row>
    <row r="97" spans="1:13" ht="21">
      <c r="A97" s="18"/>
      <c r="B97" s="278"/>
      <c r="C97" s="20"/>
      <c r="D97" s="20"/>
      <c r="E97" s="20" t="s">
        <v>301</v>
      </c>
      <c r="F97" s="131"/>
      <c r="G97" s="131"/>
      <c r="H97" s="131"/>
      <c r="I97" s="131"/>
      <c r="J97" s="131"/>
      <c r="K97" s="131"/>
      <c r="L97" s="131"/>
      <c r="M97" s="131"/>
    </row>
    <row r="98" ht="21">
      <c r="A98" s="137" t="s">
        <v>448</v>
      </c>
    </row>
    <row r="99" spans="1:2" ht="21">
      <c r="A99" s="139" t="s">
        <v>449</v>
      </c>
      <c r="B99" t="s">
        <v>450</v>
      </c>
    </row>
    <row r="100" spans="1:2" ht="21">
      <c r="A100" s="139" t="s">
        <v>451</v>
      </c>
      <c r="B100" t="s">
        <v>452</v>
      </c>
    </row>
    <row r="101" spans="1:2" ht="21">
      <c r="A101" s="139" t="s">
        <v>453</v>
      </c>
      <c r="B101" t="s">
        <v>454</v>
      </c>
    </row>
    <row r="102" spans="1:2" ht="21">
      <c r="A102" s="139" t="s">
        <v>455</v>
      </c>
      <c r="B102" t="s">
        <v>456</v>
      </c>
    </row>
  </sheetData>
  <mergeCells count="48">
    <mergeCell ref="B11:B12"/>
    <mergeCell ref="B30:B31"/>
    <mergeCell ref="B32:B33"/>
    <mergeCell ref="B34:B35"/>
    <mergeCell ref="B13:B14"/>
    <mergeCell ref="B15:B16"/>
    <mergeCell ref="B17:B18"/>
    <mergeCell ref="B21:B22"/>
    <mergeCell ref="B19:B20"/>
    <mergeCell ref="B91:B92"/>
    <mergeCell ref="B93:B94"/>
    <mergeCell ref="B96:B97"/>
    <mergeCell ref="B83:B84"/>
    <mergeCell ref="B85:B86"/>
    <mergeCell ref="B87:B88"/>
    <mergeCell ref="B89:B90"/>
    <mergeCell ref="B77:B78"/>
    <mergeCell ref="B79:B80"/>
    <mergeCell ref="B81:B82"/>
    <mergeCell ref="B72:B73"/>
    <mergeCell ref="B74:B75"/>
    <mergeCell ref="B65:B66"/>
    <mergeCell ref="B68:B69"/>
    <mergeCell ref="B70:B71"/>
    <mergeCell ref="B56:B57"/>
    <mergeCell ref="B58:B59"/>
    <mergeCell ref="B60:B61"/>
    <mergeCell ref="B62:B63"/>
    <mergeCell ref="B50:B51"/>
    <mergeCell ref="B52:B53"/>
    <mergeCell ref="B54:B55"/>
    <mergeCell ref="B48:B49"/>
    <mergeCell ref="B43:B44"/>
    <mergeCell ref="B45:B46"/>
    <mergeCell ref="B38:B39"/>
    <mergeCell ref="B40:B41"/>
    <mergeCell ref="B36:B37"/>
    <mergeCell ref="B23:B24"/>
    <mergeCell ref="B25:B26"/>
    <mergeCell ref="B27:B28"/>
    <mergeCell ref="B5:B6"/>
    <mergeCell ref="A2:B3"/>
    <mergeCell ref="B9:B10"/>
    <mergeCell ref="I2:M2"/>
    <mergeCell ref="F2:H2"/>
    <mergeCell ref="C2:C3"/>
    <mergeCell ref="D2:D3"/>
    <mergeCell ref="E2:E3"/>
  </mergeCells>
  <printOptions/>
  <pageMargins left="0.5905511811023623" right="0.5905511811023623" top="0.7874015748031497" bottom="0.984251968503937" header="0.5118110236220472" footer="0.5118110236220472"/>
  <pageSetup fitToHeight="0" fitToWidth="1" horizontalDpi="600" verticalDpi="600" orientation="landscape" paperSize="9" scale="80" r:id="rId1"/>
  <headerFooter alignWithMargins="0">
    <oddFooter>&amp;L&amp;F&amp;R&amp;A &amp;P/&amp;N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20">
    <tabColor indexed="34"/>
    <pageSetUpPr fitToPage="1"/>
  </sheetPr>
  <dimension ref="A1:M25"/>
  <sheetViews>
    <sheetView zoomScale="90" zoomScaleNormal="90" workbookViewId="0" topLeftCell="A1">
      <pane xSplit="3" ySplit="3" topLeftCell="D4" activePane="bottomRight" state="frozen"/>
      <selection pane="topLeft" activeCell="B14" sqref="B14:B15"/>
      <selection pane="topRight" activeCell="B14" sqref="B14:B15"/>
      <selection pane="bottomLeft" activeCell="B14" sqref="B14:B15"/>
      <selection pane="bottomRight" activeCell="B4" sqref="B4"/>
    </sheetView>
  </sheetViews>
  <sheetFormatPr defaultColWidth="9.33203125" defaultRowHeight="21"/>
  <cols>
    <col min="1" max="1" width="7.33203125" style="137" customWidth="1"/>
    <col min="2" max="2" width="83.83203125" style="0" customWidth="1"/>
    <col min="3" max="5" width="10.33203125" style="138" customWidth="1"/>
    <col min="6" max="8" width="10.16015625" style="54" bestFit="1" customWidth="1"/>
    <col min="9" max="13" width="9.33203125" style="54" customWidth="1"/>
  </cols>
  <sheetData>
    <row r="1" spans="1:13" ht="23.25">
      <c r="A1" s="112" t="s">
        <v>508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</row>
    <row r="2" spans="1:13" ht="25.5" customHeight="1">
      <c r="A2" s="274" t="s">
        <v>294</v>
      </c>
      <c r="B2" s="275"/>
      <c r="C2" s="272" t="s">
        <v>295</v>
      </c>
      <c r="D2" s="272" t="s">
        <v>296</v>
      </c>
      <c r="E2" s="272" t="s">
        <v>297</v>
      </c>
      <c r="F2" s="271" t="s">
        <v>3</v>
      </c>
      <c r="G2" s="271"/>
      <c r="H2" s="271"/>
      <c r="I2" s="271" t="s">
        <v>4</v>
      </c>
      <c r="J2" s="271"/>
      <c r="K2" s="271"/>
      <c r="L2" s="271"/>
      <c r="M2" s="271"/>
    </row>
    <row r="3" spans="1:13" ht="25.5" customHeight="1">
      <c r="A3" s="276"/>
      <c r="B3" s="277"/>
      <c r="C3" s="273"/>
      <c r="D3" s="273"/>
      <c r="E3" s="273"/>
      <c r="F3" s="114">
        <v>2547</v>
      </c>
      <c r="G3" s="114">
        <v>2548</v>
      </c>
      <c r="H3" s="114">
        <v>2549</v>
      </c>
      <c r="I3" s="114">
        <v>2550</v>
      </c>
      <c r="J3" s="114">
        <v>2551</v>
      </c>
      <c r="K3" s="114">
        <v>2552</v>
      </c>
      <c r="L3" s="114">
        <v>2553</v>
      </c>
      <c r="M3" s="114">
        <v>2554</v>
      </c>
    </row>
    <row r="4" spans="1:13" ht="21">
      <c r="A4" s="115" t="s">
        <v>5</v>
      </c>
      <c r="B4" s="116"/>
      <c r="C4" s="117"/>
      <c r="D4" s="117">
        <v>6.67</v>
      </c>
      <c r="E4" s="117"/>
      <c r="F4" s="117"/>
      <c r="G4" s="117"/>
      <c r="H4" s="117"/>
      <c r="I4" s="117"/>
      <c r="J4" s="117"/>
      <c r="K4" s="117"/>
      <c r="L4" s="117"/>
      <c r="M4" s="117"/>
    </row>
    <row r="5" spans="1:13" ht="21">
      <c r="A5" s="9" t="s">
        <v>9</v>
      </c>
      <c r="B5" s="283" t="s">
        <v>458</v>
      </c>
      <c r="C5" s="118" t="s">
        <v>303</v>
      </c>
      <c r="D5" s="118">
        <v>6.67</v>
      </c>
      <c r="E5" s="6" t="s">
        <v>300</v>
      </c>
      <c r="F5" s="140"/>
      <c r="G5" s="140"/>
      <c r="H5" s="140"/>
      <c r="I5" s="8">
        <v>80</v>
      </c>
      <c r="J5" s="8">
        <v>80</v>
      </c>
      <c r="K5" s="8">
        <v>80</v>
      </c>
      <c r="L5" s="8">
        <v>80</v>
      </c>
      <c r="M5" s="8">
        <v>80</v>
      </c>
    </row>
    <row r="6" spans="1:13" ht="21">
      <c r="A6" s="18"/>
      <c r="B6" s="278"/>
      <c r="C6" s="20"/>
      <c r="D6" s="20"/>
      <c r="E6" s="20" t="s">
        <v>301</v>
      </c>
      <c r="F6" s="22"/>
      <c r="G6" s="22"/>
      <c r="H6" s="22"/>
      <c r="I6" s="131"/>
      <c r="J6" s="131"/>
      <c r="K6" s="131"/>
      <c r="L6" s="131"/>
      <c r="M6" s="131"/>
    </row>
    <row r="7" spans="1:13" ht="21">
      <c r="A7" s="115" t="s">
        <v>209</v>
      </c>
      <c r="B7" s="116"/>
      <c r="C7" s="117"/>
      <c r="D7" s="117">
        <v>6.12</v>
      </c>
      <c r="E7" s="117"/>
      <c r="F7" s="117"/>
      <c r="G7" s="117"/>
      <c r="H7" s="117"/>
      <c r="I7" s="117"/>
      <c r="J7" s="117"/>
      <c r="K7" s="117"/>
      <c r="L7" s="117"/>
      <c r="M7" s="117"/>
    </row>
    <row r="8" spans="1:13" ht="21">
      <c r="A8" s="9" t="s">
        <v>212</v>
      </c>
      <c r="B8" s="270" t="s">
        <v>490</v>
      </c>
      <c r="C8" s="118" t="s">
        <v>299</v>
      </c>
      <c r="D8" s="118">
        <v>1.53</v>
      </c>
      <c r="E8" s="6" t="s">
        <v>300</v>
      </c>
      <c r="F8" s="140"/>
      <c r="G8" s="140"/>
      <c r="H8" s="140"/>
      <c r="I8" s="8">
        <v>3</v>
      </c>
      <c r="J8" s="8">
        <v>3</v>
      </c>
      <c r="K8" s="8">
        <v>3</v>
      </c>
      <c r="L8" s="8">
        <v>3</v>
      </c>
      <c r="M8" s="8">
        <v>3</v>
      </c>
    </row>
    <row r="9" spans="1:13" ht="21">
      <c r="A9" s="4"/>
      <c r="B9" s="269"/>
      <c r="C9" s="6"/>
      <c r="D9" s="6"/>
      <c r="E9" s="6" t="s">
        <v>301</v>
      </c>
      <c r="F9" s="8"/>
      <c r="G9" s="8"/>
      <c r="H9" s="8"/>
      <c r="I9" s="134"/>
      <c r="J9" s="134"/>
      <c r="K9" s="134"/>
      <c r="L9" s="134"/>
      <c r="M9" s="134"/>
    </row>
    <row r="10" spans="1:13" ht="21">
      <c r="A10" s="9" t="s">
        <v>216</v>
      </c>
      <c r="B10" s="268" t="s">
        <v>491</v>
      </c>
      <c r="C10" s="118" t="s">
        <v>299</v>
      </c>
      <c r="D10" s="118">
        <v>1.53</v>
      </c>
      <c r="E10" s="12" t="s">
        <v>300</v>
      </c>
      <c r="F10" s="130"/>
      <c r="G10" s="130"/>
      <c r="H10" s="130"/>
      <c r="I10" s="14">
        <v>4</v>
      </c>
      <c r="J10" s="14">
        <v>4</v>
      </c>
      <c r="K10" s="14">
        <v>4</v>
      </c>
      <c r="L10" s="14">
        <v>4</v>
      </c>
      <c r="M10" s="14">
        <v>4</v>
      </c>
    </row>
    <row r="11" spans="1:13" ht="21">
      <c r="A11" s="4"/>
      <c r="B11" s="269"/>
      <c r="C11" s="6"/>
      <c r="D11" s="6"/>
      <c r="E11" s="6" t="s">
        <v>301</v>
      </c>
      <c r="F11" s="8"/>
      <c r="G11" s="8"/>
      <c r="H11" s="8"/>
      <c r="I11" s="134"/>
      <c r="J11" s="134"/>
      <c r="K11" s="134"/>
      <c r="L11" s="134"/>
      <c r="M11" s="134"/>
    </row>
    <row r="12" spans="1:13" ht="21">
      <c r="A12" s="9" t="s">
        <v>234</v>
      </c>
      <c r="B12" s="268" t="s">
        <v>495</v>
      </c>
      <c r="C12" s="118" t="s">
        <v>303</v>
      </c>
      <c r="D12" s="118">
        <v>1.53</v>
      </c>
      <c r="E12" s="12" t="s">
        <v>300</v>
      </c>
      <c r="F12" s="130"/>
      <c r="G12" s="130"/>
      <c r="H12" s="130"/>
      <c r="I12" s="14">
        <v>100</v>
      </c>
      <c r="J12" s="14">
        <v>100</v>
      </c>
      <c r="K12" s="14">
        <v>100</v>
      </c>
      <c r="L12" s="14">
        <v>100</v>
      </c>
      <c r="M12" s="14">
        <v>100</v>
      </c>
    </row>
    <row r="13" spans="1:13" ht="21">
      <c r="A13" s="4"/>
      <c r="B13" s="269"/>
      <c r="C13" s="6"/>
      <c r="D13" s="6"/>
      <c r="E13" s="6" t="s">
        <v>301</v>
      </c>
      <c r="F13" s="8">
        <v>100</v>
      </c>
      <c r="G13" s="8">
        <v>100</v>
      </c>
      <c r="H13" s="8">
        <v>100</v>
      </c>
      <c r="I13" s="134"/>
      <c r="J13" s="134"/>
      <c r="K13" s="134"/>
      <c r="L13" s="134"/>
      <c r="M13" s="134"/>
    </row>
    <row r="14" spans="1:13" ht="21">
      <c r="A14" s="9" t="s">
        <v>236</v>
      </c>
      <c r="B14" s="268" t="s">
        <v>496</v>
      </c>
      <c r="C14" s="118" t="s">
        <v>299</v>
      </c>
      <c r="D14" s="118">
        <v>1.53</v>
      </c>
      <c r="E14" s="12" t="s">
        <v>300</v>
      </c>
      <c r="F14" s="130"/>
      <c r="G14" s="130"/>
      <c r="H14" s="130"/>
      <c r="I14" s="14">
        <v>3</v>
      </c>
      <c r="J14" s="14">
        <v>3</v>
      </c>
      <c r="K14" s="14">
        <v>3</v>
      </c>
      <c r="L14" s="14">
        <v>3</v>
      </c>
      <c r="M14" s="14">
        <v>3</v>
      </c>
    </row>
    <row r="15" spans="1:13" ht="21">
      <c r="A15" s="4"/>
      <c r="B15" s="269"/>
      <c r="C15" s="6"/>
      <c r="D15" s="6"/>
      <c r="E15" s="6" t="s">
        <v>301</v>
      </c>
      <c r="F15" s="8"/>
      <c r="G15" s="8"/>
      <c r="H15" s="8"/>
      <c r="I15" s="134"/>
      <c r="J15" s="134"/>
      <c r="K15" s="134"/>
      <c r="L15" s="134"/>
      <c r="M15" s="134"/>
    </row>
    <row r="16" spans="1:13" ht="21">
      <c r="A16" s="119" t="s">
        <v>401</v>
      </c>
      <c r="B16" s="268" t="s">
        <v>500</v>
      </c>
      <c r="C16" s="120" t="s">
        <v>403</v>
      </c>
      <c r="D16" s="120"/>
      <c r="E16" s="12" t="s">
        <v>300</v>
      </c>
      <c r="F16" s="130"/>
      <c r="G16" s="130"/>
      <c r="H16" s="130"/>
      <c r="I16" s="130"/>
      <c r="J16" s="130"/>
      <c r="K16" s="130"/>
      <c r="L16" s="130"/>
      <c r="M16" s="130"/>
    </row>
    <row r="17" spans="1:13" ht="21">
      <c r="A17" s="18"/>
      <c r="B17" s="278"/>
      <c r="C17" s="20"/>
      <c r="D17" s="20"/>
      <c r="E17" s="20" t="s">
        <v>301</v>
      </c>
      <c r="F17" s="131"/>
      <c r="G17" s="131"/>
      <c r="H17" s="131"/>
      <c r="I17" s="131"/>
      <c r="J17" s="131"/>
      <c r="K17" s="131"/>
      <c r="L17" s="131"/>
      <c r="M17" s="131"/>
    </row>
    <row r="18" spans="1:13" ht="21">
      <c r="A18" s="115" t="s">
        <v>251</v>
      </c>
      <c r="B18" s="116"/>
      <c r="C18" s="117"/>
      <c r="D18" s="117">
        <v>0</v>
      </c>
      <c r="E18" s="117"/>
      <c r="F18" s="117"/>
      <c r="G18" s="117"/>
      <c r="H18" s="117"/>
      <c r="I18" s="117"/>
      <c r="J18" s="117"/>
      <c r="K18" s="117"/>
      <c r="L18" s="117"/>
      <c r="M18" s="117"/>
    </row>
    <row r="19" spans="1:13" ht="21">
      <c r="A19" s="9" t="s">
        <v>258</v>
      </c>
      <c r="B19" s="283" t="s">
        <v>501</v>
      </c>
      <c r="C19" s="118" t="s">
        <v>299</v>
      </c>
      <c r="D19" s="118"/>
      <c r="E19" s="6" t="s">
        <v>300</v>
      </c>
      <c r="F19" s="140"/>
      <c r="G19" s="140"/>
      <c r="H19" s="140"/>
      <c r="I19" s="140"/>
      <c r="J19" s="140"/>
      <c r="K19" s="140"/>
      <c r="L19" s="140"/>
      <c r="M19" s="140"/>
    </row>
    <row r="20" spans="1:13" ht="21">
      <c r="A20" s="18"/>
      <c r="B20" s="278"/>
      <c r="C20" s="20"/>
      <c r="D20" s="20"/>
      <c r="E20" s="20" t="s">
        <v>301</v>
      </c>
      <c r="F20" s="131"/>
      <c r="G20" s="131"/>
      <c r="H20" s="131"/>
      <c r="I20" s="131"/>
      <c r="J20" s="131"/>
      <c r="K20" s="131"/>
      <c r="L20" s="131"/>
      <c r="M20" s="131"/>
    </row>
    <row r="21" ht="21">
      <c r="A21" s="137" t="s">
        <v>448</v>
      </c>
    </row>
    <row r="22" spans="1:2" ht="21">
      <c r="A22" s="139" t="s">
        <v>449</v>
      </c>
      <c r="B22" t="s">
        <v>450</v>
      </c>
    </row>
    <row r="23" spans="1:2" ht="21">
      <c r="A23" s="139" t="s">
        <v>451</v>
      </c>
      <c r="B23" t="s">
        <v>452</v>
      </c>
    </row>
    <row r="24" spans="1:2" ht="21">
      <c r="A24" s="139" t="s">
        <v>453</v>
      </c>
      <c r="B24" t="s">
        <v>454</v>
      </c>
    </row>
    <row r="25" spans="1:2" ht="21">
      <c r="A25" s="139" t="s">
        <v>455</v>
      </c>
      <c r="B25" t="s">
        <v>456</v>
      </c>
    </row>
  </sheetData>
  <mergeCells count="13">
    <mergeCell ref="I2:M2"/>
    <mergeCell ref="F2:H2"/>
    <mergeCell ref="C2:C3"/>
    <mergeCell ref="D2:D3"/>
    <mergeCell ref="E2:E3"/>
    <mergeCell ref="B19:B20"/>
    <mergeCell ref="B16:B17"/>
    <mergeCell ref="B5:B6"/>
    <mergeCell ref="A2:B3"/>
    <mergeCell ref="B8:B9"/>
    <mergeCell ref="B10:B11"/>
    <mergeCell ref="B12:B13"/>
    <mergeCell ref="B14:B15"/>
  </mergeCells>
  <printOptions/>
  <pageMargins left="0.5905511811023623" right="0.5905511811023623" top="0.7874015748031497" bottom="0.984251968503937" header="0.5118110236220472" footer="0.5118110236220472"/>
  <pageSetup fitToHeight="0" fitToWidth="1" horizontalDpi="600" verticalDpi="600" orientation="landscape" paperSize="9" scale="81" r:id="rId1"/>
  <headerFooter alignWithMargins="0">
    <oddFooter>&amp;L&amp;F&amp;R&amp;A &amp;P/&amp;N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21">
    <tabColor indexed="34"/>
    <pageSetUpPr fitToPage="1"/>
  </sheetPr>
  <dimension ref="A1:M25"/>
  <sheetViews>
    <sheetView zoomScale="90" zoomScaleNormal="90" workbookViewId="0" topLeftCell="A1">
      <pane xSplit="3" ySplit="3" topLeftCell="D4" activePane="bottomRight" state="frozen"/>
      <selection pane="topLeft" activeCell="B14" sqref="B14:B15"/>
      <selection pane="topRight" activeCell="B14" sqref="B14:B15"/>
      <selection pane="bottomLeft" activeCell="B14" sqref="B14:B15"/>
      <selection pane="bottomRight" activeCell="B4" sqref="B4"/>
    </sheetView>
  </sheetViews>
  <sheetFormatPr defaultColWidth="9.33203125" defaultRowHeight="21"/>
  <cols>
    <col min="1" max="1" width="7.33203125" style="137" customWidth="1"/>
    <col min="2" max="2" width="83.83203125" style="0" customWidth="1"/>
    <col min="3" max="5" width="10.33203125" style="138" customWidth="1"/>
    <col min="6" max="8" width="10.16015625" style="54" bestFit="1" customWidth="1"/>
    <col min="9" max="13" width="9.33203125" style="54" customWidth="1"/>
  </cols>
  <sheetData>
    <row r="1" spans="1:13" ht="23.25">
      <c r="A1" s="112" t="s">
        <v>509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</row>
    <row r="2" spans="1:13" ht="25.5" customHeight="1">
      <c r="A2" s="274" t="s">
        <v>294</v>
      </c>
      <c r="B2" s="275"/>
      <c r="C2" s="272" t="s">
        <v>295</v>
      </c>
      <c r="D2" s="272" t="s">
        <v>296</v>
      </c>
      <c r="E2" s="272" t="s">
        <v>297</v>
      </c>
      <c r="F2" s="271" t="s">
        <v>3</v>
      </c>
      <c r="G2" s="271"/>
      <c r="H2" s="271"/>
      <c r="I2" s="271" t="s">
        <v>4</v>
      </c>
      <c r="J2" s="271"/>
      <c r="K2" s="271"/>
      <c r="L2" s="271"/>
      <c r="M2" s="271"/>
    </row>
    <row r="3" spans="1:13" ht="25.5" customHeight="1">
      <c r="A3" s="276"/>
      <c r="B3" s="277"/>
      <c r="C3" s="273"/>
      <c r="D3" s="273"/>
      <c r="E3" s="273"/>
      <c r="F3" s="114">
        <v>2547</v>
      </c>
      <c r="G3" s="114">
        <v>2548</v>
      </c>
      <c r="H3" s="114">
        <v>2549</v>
      </c>
      <c r="I3" s="114">
        <v>2550</v>
      </c>
      <c r="J3" s="114">
        <v>2551</v>
      </c>
      <c r="K3" s="114">
        <v>2552</v>
      </c>
      <c r="L3" s="114">
        <v>2553</v>
      </c>
      <c r="M3" s="114">
        <v>2554</v>
      </c>
    </row>
    <row r="4" spans="1:13" ht="21">
      <c r="A4" s="115" t="s">
        <v>5</v>
      </c>
      <c r="B4" s="116"/>
      <c r="C4" s="117"/>
      <c r="D4" s="117">
        <v>6.67</v>
      </c>
      <c r="E4" s="117"/>
      <c r="F4" s="117"/>
      <c r="G4" s="117"/>
      <c r="H4" s="117"/>
      <c r="I4" s="117"/>
      <c r="J4" s="117"/>
      <c r="K4" s="117"/>
      <c r="L4" s="117"/>
      <c r="M4" s="117"/>
    </row>
    <row r="5" spans="1:13" ht="21">
      <c r="A5" s="9" t="s">
        <v>9</v>
      </c>
      <c r="B5" s="283" t="s">
        <v>458</v>
      </c>
      <c r="C5" s="118" t="s">
        <v>303</v>
      </c>
      <c r="D5" s="118">
        <v>6.67</v>
      </c>
      <c r="E5" s="6" t="s">
        <v>300</v>
      </c>
      <c r="F5" s="140"/>
      <c r="G5" s="140"/>
      <c r="H5" s="140"/>
      <c r="I5" s="8">
        <v>80</v>
      </c>
      <c r="J5" s="8">
        <v>80</v>
      </c>
      <c r="K5" s="8">
        <v>80</v>
      </c>
      <c r="L5" s="8">
        <v>80</v>
      </c>
      <c r="M5" s="8">
        <v>80</v>
      </c>
    </row>
    <row r="6" spans="1:13" ht="21">
      <c r="A6" s="18"/>
      <c r="B6" s="278"/>
      <c r="C6" s="20"/>
      <c r="D6" s="20"/>
      <c r="E6" s="20" t="s">
        <v>301</v>
      </c>
      <c r="F6" s="22" t="s">
        <v>21</v>
      </c>
      <c r="G6" s="22" t="s">
        <v>21</v>
      </c>
      <c r="H6" s="22" t="s">
        <v>21</v>
      </c>
      <c r="I6" s="131"/>
      <c r="J6" s="131"/>
      <c r="K6" s="131"/>
      <c r="L6" s="131"/>
      <c r="M6" s="131"/>
    </row>
    <row r="7" spans="1:13" ht="21">
      <c r="A7" s="115" t="s">
        <v>209</v>
      </c>
      <c r="B7" s="116"/>
      <c r="C7" s="117"/>
      <c r="D7" s="117">
        <v>6.12</v>
      </c>
      <c r="E7" s="117"/>
      <c r="F7" s="117"/>
      <c r="G7" s="117"/>
      <c r="H7" s="117"/>
      <c r="I7" s="117"/>
      <c r="J7" s="117"/>
      <c r="K7" s="117"/>
      <c r="L7" s="117"/>
      <c r="M7" s="117"/>
    </row>
    <row r="8" spans="1:13" ht="21">
      <c r="A8" s="9" t="s">
        <v>212</v>
      </c>
      <c r="B8" s="270" t="s">
        <v>490</v>
      </c>
      <c r="C8" s="118" t="s">
        <v>299</v>
      </c>
      <c r="D8" s="118">
        <v>1.53</v>
      </c>
      <c r="E8" s="6" t="s">
        <v>300</v>
      </c>
      <c r="F8" s="140"/>
      <c r="G8" s="140"/>
      <c r="H8" s="140"/>
      <c r="I8" s="8">
        <v>3</v>
      </c>
      <c r="J8" s="8">
        <v>3</v>
      </c>
      <c r="K8" s="8">
        <v>3</v>
      </c>
      <c r="L8" s="8">
        <v>4</v>
      </c>
      <c r="M8" s="8">
        <v>4</v>
      </c>
    </row>
    <row r="9" spans="1:13" ht="21">
      <c r="A9" s="4"/>
      <c r="B9" s="269"/>
      <c r="C9" s="6"/>
      <c r="D9" s="6"/>
      <c r="E9" s="6" t="s">
        <v>301</v>
      </c>
      <c r="F9" s="8">
        <v>3</v>
      </c>
      <c r="G9" s="8">
        <v>3</v>
      </c>
      <c r="H9" s="8">
        <v>3</v>
      </c>
      <c r="I9" s="134"/>
      <c r="J9" s="134"/>
      <c r="K9" s="134"/>
      <c r="L9" s="134"/>
      <c r="M9" s="134"/>
    </row>
    <row r="10" spans="1:13" ht="21">
      <c r="A10" s="9" t="s">
        <v>216</v>
      </c>
      <c r="B10" s="268" t="s">
        <v>491</v>
      </c>
      <c r="C10" s="118" t="s">
        <v>299</v>
      </c>
      <c r="D10" s="118">
        <v>1.53</v>
      </c>
      <c r="E10" s="12" t="s">
        <v>300</v>
      </c>
      <c r="F10" s="130"/>
      <c r="G10" s="130"/>
      <c r="H10" s="130"/>
      <c r="I10" s="14">
        <v>3</v>
      </c>
      <c r="J10" s="14">
        <v>3</v>
      </c>
      <c r="K10" s="14">
        <v>4</v>
      </c>
      <c r="L10" s="14">
        <v>6</v>
      </c>
      <c r="M10" s="14">
        <v>6</v>
      </c>
    </row>
    <row r="11" spans="1:13" ht="21">
      <c r="A11" s="4"/>
      <c r="B11" s="269"/>
      <c r="C11" s="6"/>
      <c r="D11" s="6"/>
      <c r="E11" s="6" t="s">
        <v>301</v>
      </c>
      <c r="F11" s="8">
        <v>2</v>
      </c>
      <c r="G11" s="8">
        <v>2</v>
      </c>
      <c r="H11" s="8">
        <v>2</v>
      </c>
      <c r="I11" s="134"/>
      <c r="J11" s="134"/>
      <c r="K11" s="134"/>
      <c r="L11" s="134"/>
      <c r="M11" s="134"/>
    </row>
    <row r="12" spans="1:13" ht="21">
      <c r="A12" s="9" t="s">
        <v>234</v>
      </c>
      <c r="B12" s="268" t="s">
        <v>495</v>
      </c>
      <c r="C12" s="118" t="s">
        <v>303</v>
      </c>
      <c r="D12" s="118">
        <v>1.53</v>
      </c>
      <c r="E12" s="12" t="s">
        <v>300</v>
      </c>
      <c r="F12" s="130"/>
      <c r="G12" s="130"/>
      <c r="H12" s="130"/>
      <c r="I12" s="14">
        <v>100</v>
      </c>
      <c r="J12" s="14">
        <v>100</v>
      </c>
      <c r="K12" s="14">
        <v>100</v>
      </c>
      <c r="L12" s="14">
        <v>100</v>
      </c>
      <c r="M12" s="14">
        <v>100</v>
      </c>
    </row>
    <row r="13" spans="1:13" ht="21">
      <c r="A13" s="4"/>
      <c r="B13" s="269"/>
      <c r="C13" s="6"/>
      <c r="D13" s="6"/>
      <c r="E13" s="6" t="s">
        <v>301</v>
      </c>
      <c r="F13" s="8">
        <v>100</v>
      </c>
      <c r="G13" s="8">
        <v>100</v>
      </c>
      <c r="H13" s="8">
        <v>100</v>
      </c>
      <c r="I13" s="134"/>
      <c r="J13" s="134"/>
      <c r="K13" s="134"/>
      <c r="L13" s="134"/>
      <c r="M13" s="134"/>
    </row>
    <row r="14" spans="1:13" ht="21">
      <c r="A14" s="9" t="s">
        <v>236</v>
      </c>
      <c r="B14" s="268" t="s">
        <v>496</v>
      </c>
      <c r="C14" s="118" t="s">
        <v>299</v>
      </c>
      <c r="D14" s="118">
        <v>1.53</v>
      </c>
      <c r="E14" s="12" t="s">
        <v>300</v>
      </c>
      <c r="F14" s="130"/>
      <c r="G14" s="130"/>
      <c r="H14" s="130"/>
      <c r="I14" s="14">
        <v>3</v>
      </c>
      <c r="J14" s="14">
        <v>3</v>
      </c>
      <c r="K14" s="14">
        <v>3</v>
      </c>
      <c r="L14" s="14">
        <v>3</v>
      </c>
      <c r="M14" s="14">
        <v>3</v>
      </c>
    </row>
    <row r="15" spans="1:13" ht="21">
      <c r="A15" s="4"/>
      <c r="B15" s="269"/>
      <c r="C15" s="6"/>
      <c r="D15" s="6"/>
      <c r="E15" s="6" t="s">
        <v>301</v>
      </c>
      <c r="F15" s="8">
        <v>3</v>
      </c>
      <c r="G15" s="8">
        <v>3</v>
      </c>
      <c r="H15" s="8">
        <v>3</v>
      </c>
      <c r="I15" s="134"/>
      <c r="J15" s="134"/>
      <c r="K15" s="134"/>
      <c r="L15" s="134"/>
      <c r="M15" s="134"/>
    </row>
    <row r="16" spans="1:13" ht="21">
      <c r="A16" s="119" t="s">
        <v>401</v>
      </c>
      <c r="B16" s="268" t="s">
        <v>500</v>
      </c>
      <c r="C16" s="120" t="s">
        <v>403</v>
      </c>
      <c r="D16" s="120"/>
      <c r="E16" s="12" t="s">
        <v>300</v>
      </c>
      <c r="F16" s="130"/>
      <c r="G16" s="130"/>
      <c r="H16" s="130"/>
      <c r="I16" s="130"/>
      <c r="J16" s="130"/>
      <c r="K16" s="130"/>
      <c r="L16" s="130"/>
      <c r="M16" s="130"/>
    </row>
    <row r="17" spans="1:13" ht="21">
      <c r="A17" s="18"/>
      <c r="B17" s="278"/>
      <c r="C17" s="20"/>
      <c r="D17" s="20"/>
      <c r="E17" s="20" t="s">
        <v>301</v>
      </c>
      <c r="F17" s="131" t="s">
        <v>21</v>
      </c>
      <c r="G17" s="131" t="s">
        <v>21</v>
      </c>
      <c r="H17" s="131" t="s">
        <v>21</v>
      </c>
      <c r="I17" s="131"/>
      <c r="J17" s="131"/>
      <c r="K17" s="131"/>
      <c r="L17" s="131"/>
      <c r="M17" s="131"/>
    </row>
    <row r="18" spans="1:13" ht="21">
      <c r="A18" s="115" t="s">
        <v>251</v>
      </c>
      <c r="B18" s="116"/>
      <c r="C18" s="117"/>
      <c r="D18" s="117">
        <v>0</v>
      </c>
      <c r="E18" s="117"/>
      <c r="F18" s="117"/>
      <c r="G18" s="117"/>
      <c r="H18" s="117"/>
      <c r="I18" s="117"/>
      <c r="J18" s="117"/>
      <c r="K18" s="117"/>
      <c r="L18" s="117"/>
      <c r="M18" s="117"/>
    </row>
    <row r="19" spans="1:13" ht="21">
      <c r="A19" s="9" t="s">
        <v>258</v>
      </c>
      <c r="B19" s="283" t="s">
        <v>501</v>
      </c>
      <c r="C19" s="118" t="s">
        <v>299</v>
      </c>
      <c r="D19" s="118"/>
      <c r="E19" s="6" t="s">
        <v>300</v>
      </c>
      <c r="F19" s="140"/>
      <c r="G19" s="140"/>
      <c r="H19" s="140"/>
      <c r="I19" s="140"/>
      <c r="J19" s="140"/>
      <c r="K19" s="140"/>
      <c r="L19" s="140"/>
      <c r="M19" s="140"/>
    </row>
    <row r="20" spans="1:13" ht="21">
      <c r="A20" s="18"/>
      <c r="B20" s="278"/>
      <c r="C20" s="20"/>
      <c r="D20" s="20"/>
      <c r="E20" s="20" t="s">
        <v>301</v>
      </c>
      <c r="F20" s="131">
        <v>1</v>
      </c>
      <c r="G20" s="131">
        <v>1</v>
      </c>
      <c r="H20" s="131">
        <v>1</v>
      </c>
      <c r="I20" s="131"/>
      <c r="J20" s="131"/>
      <c r="K20" s="131"/>
      <c r="L20" s="131"/>
      <c r="M20" s="131"/>
    </row>
    <row r="21" ht="21">
      <c r="A21" s="137" t="s">
        <v>448</v>
      </c>
    </row>
    <row r="22" spans="1:2" ht="21">
      <c r="A22" s="139" t="s">
        <v>449</v>
      </c>
      <c r="B22" t="s">
        <v>450</v>
      </c>
    </row>
    <row r="23" spans="1:2" ht="21">
      <c r="A23" s="139" t="s">
        <v>451</v>
      </c>
      <c r="B23" t="s">
        <v>452</v>
      </c>
    </row>
    <row r="24" spans="1:2" ht="21">
      <c r="A24" s="139" t="s">
        <v>453</v>
      </c>
      <c r="B24" t="s">
        <v>454</v>
      </c>
    </row>
    <row r="25" spans="1:2" ht="21">
      <c r="A25" s="139" t="s">
        <v>455</v>
      </c>
      <c r="B25" t="s">
        <v>456</v>
      </c>
    </row>
  </sheetData>
  <mergeCells count="13">
    <mergeCell ref="I2:M2"/>
    <mergeCell ref="F2:H2"/>
    <mergeCell ref="C2:C3"/>
    <mergeCell ref="D2:D3"/>
    <mergeCell ref="E2:E3"/>
    <mergeCell ref="B19:B20"/>
    <mergeCell ref="B16:B17"/>
    <mergeCell ref="B5:B6"/>
    <mergeCell ref="A2:B3"/>
    <mergeCell ref="B8:B9"/>
    <mergeCell ref="B10:B11"/>
    <mergeCell ref="B12:B13"/>
    <mergeCell ref="B14:B15"/>
  </mergeCells>
  <printOptions/>
  <pageMargins left="0.5905511811023623" right="0.5905511811023623" top="0.7874015748031497" bottom="0.984251968503937" header="0.5118110236220472" footer="0.5118110236220472"/>
  <pageSetup fitToHeight="0" fitToWidth="1" horizontalDpi="600" verticalDpi="600" orientation="landscape" paperSize="9" scale="81" r:id="rId1"/>
  <headerFooter alignWithMargins="0">
    <oddFooter>&amp;L&amp;F&amp;R&amp;A &amp;P/&amp;N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22">
    <tabColor indexed="34"/>
    <pageSetUpPr fitToPage="1"/>
  </sheetPr>
  <dimension ref="A1:M25"/>
  <sheetViews>
    <sheetView zoomScale="90" zoomScaleNormal="90" workbookViewId="0" topLeftCell="A1">
      <pane xSplit="3" ySplit="3" topLeftCell="F4" activePane="bottomRight" state="frozen"/>
      <selection pane="topLeft" activeCell="B14" sqref="B14:B15"/>
      <selection pane="topRight" activeCell="B14" sqref="B14:B15"/>
      <selection pane="bottomLeft" activeCell="B14" sqref="B14:B15"/>
      <selection pane="bottomRight" activeCell="B14" sqref="B14:B15"/>
    </sheetView>
  </sheetViews>
  <sheetFormatPr defaultColWidth="9.33203125" defaultRowHeight="21"/>
  <cols>
    <col min="1" max="1" width="7.33203125" style="137" customWidth="1"/>
    <col min="2" max="2" width="83.83203125" style="0" customWidth="1"/>
    <col min="3" max="5" width="10.33203125" style="138" customWidth="1"/>
    <col min="6" max="8" width="10.16015625" style="54" bestFit="1" customWidth="1"/>
    <col min="9" max="13" width="9.33203125" style="54" customWidth="1"/>
  </cols>
  <sheetData>
    <row r="1" spans="1:13" ht="23.25">
      <c r="A1" s="112" t="s">
        <v>510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</row>
    <row r="2" spans="1:13" ht="25.5" customHeight="1">
      <c r="A2" s="274" t="s">
        <v>294</v>
      </c>
      <c r="B2" s="275"/>
      <c r="C2" s="272" t="s">
        <v>295</v>
      </c>
      <c r="D2" s="272" t="s">
        <v>296</v>
      </c>
      <c r="E2" s="272" t="s">
        <v>297</v>
      </c>
      <c r="F2" s="271" t="s">
        <v>3</v>
      </c>
      <c r="G2" s="271"/>
      <c r="H2" s="271"/>
      <c r="I2" s="271" t="s">
        <v>4</v>
      </c>
      <c r="J2" s="271"/>
      <c r="K2" s="271"/>
      <c r="L2" s="271"/>
      <c r="M2" s="271"/>
    </row>
    <row r="3" spans="1:13" ht="25.5" customHeight="1">
      <c r="A3" s="276"/>
      <c r="B3" s="277"/>
      <c r="C3" s="273"/>
      <c r="D3" s="273"/>
      <c r="E3" s="273"/>
      <c r="F3" s="114">
        <v>2547</v>
      </c>
      <c r="G3" s="114">
        <v>2548</v>
      </c>
      <c r="H3" s="114">
        <v>2549</v>
      </c>
      <c r="I3" s="114">
        <v>2550</v>
      </c>
      <c r="J3" s="114">
        <v>2551</v>
      </c>
      <c r="K3" s="114">
        <v>2552</v>
      </c>
      <c r="L3" s="114">
        <v>2553</v>
      </c>
      <c r="M3" s="114">
        <v>2554</v>
      </c>
    </row>
    <row r="4" spans="1:13" ht="21">
      <c r="A4" s="115" t="s">
        <v>5</v>
      </c>
      <c r="B4" s="116"/>
      <c r="C4" s="117"/>
      <c r="D4" s="117">
        <v>6.67</v>
      </c>
      <c r="E4" s="117"/>
      <c r="F4" s="117"/>
      <c r="G4" s="117"/>
      <c r="H4" s="117"/>
      <c r="I4" s="117"/>
      <c r="J4" s="117"/>
      <c r="K4" s="117"/>
      <c r="L4" s="117"/>
      <c r="M4" s="117"/>
    </row>
    <row r="5" spans="1:13" ht="21">
      <c r="A5" s="9" t="s">
        <v>9</v>
      </c>
      <c r="B5" s="283" t="s">
        <v>458</v>
      </c>
      <c r="C5" s="118" t="s">
        <v>303</v>
      </c>
      <c r="D5" s="118">
        <v>6.67</v>
      </c>
      <c r="E5" s="6" t="s">
        <v>300</v>
      </c>
      <c r="F5" s="140"/>
      <c r="G5" s="140"/>
      <c r="H5" s="140"/>
      <c r="I5" s="101">
        <v>80</v>
      </c>
      <c r="J5" s="101">
        <v>80</v>
      </c>
      <c r="K5" s="101">
        <v>80</v>
      </c>
      <c r="L5" s="101">
        <v>80</v>
      </c>
      <c r="M5" s="101">
        <v>80</v>
      </c>
    </row>
    <row r="6" spans="1:13" ht="21">
      <c r="A6" s="18"/>
      <c r="B6" s="278"/>
      <c r="C6" s="20"/>
      <c r="D6" s="20"/>
      <c r="E6" s="20" t="s">
        <v>301</v>
      </c>
      <c r="F6" s="22"/>
      <c r="G6" s="22"/>
      <c r="H6" s="22"/>
      <c r="I6" s="131"/>
      <c r="J6" s="131"/>
      <c r="K6" s="131"/>
      <c r="L6" s="131"/>
      <c r="M6" s="131"/>
    </row>
    <row r="7" spans="1:13" ht="21">
      <c r="A7" s="115" t="s">
        <v>209</v>
      </c>
      <c r="B7" s="116"/>
      <c r="C7" s="117"/>
      <c r="D7" s="117">
        <v>4.59</v>
      </c>
      <c r="E7" s="117"/>
      <c r="F7" s="117"/>
      <c r="G7" s="117"/>
      <c r="H7" s="117"/>
      <c r="I7" s="117"/>
      <c r="J7" s="117"/>
      <c r="K7" s="117"/>
      <c r="L7" s="117"/>
      <c r="M7" s="117"/>
    </row>
    <row r="8" spans="1:13" ht="21">
      <c r="A8" s="9" t="s">
        <v>212</v>
      </c>
      <c r="B8" s="270" t="s">
        <v>490</v>
      </c>
      <c r="C8" s="118" t="s">
        <v>299</v>
      </c>
      <c r="D8" s="118">
        <v>1.53</v>
      </c>
      <c r="E8" s="6" t="s">
        <v>300</v>
      </c>
      <c r="F8" s="140"/>
      <c r="G8" s="140"/>
      <c r="H8" s="140"/>
      <c r="I8" s="8">
        <v>4</v>
      </c>
      <c r="J8" s="8">
        <v>4</v>
      </c>
      <c r="K8" s="8">
        <v>4</v>
      </c>
      <c r="L8" s="8">
        <v>4</v>
      </c>
      <c r="M8" s="8">
        <v>4</v>
      </c>
    </row>
    <row r="9" spans="1:13" ht="21">
      <c r="A9" s="4"/>
      <c r="B9" s="269"/>
      <c r="C9" s="6"/>
      <c r="D9" s="6"/>
      <c r="E9" s="6" t="s">
        <v>301</v>
      </c>
      <c r="F9" s="8"/>
      <c r="G9" s="8"/>
      <c r="H9" s="8"/>
      <c r="I9" s="134"/>
      <c r="J9" s="134"/>
      <c r="K9" s="134"/>
      <c r="L9" s="134"/>
      <c r="M9" s="134"/>
    </row>
    <row r="10" spans="1:13" ht="21">
      <c r="A10" s="9" t="s">
        <v>216</v>
      </c>
      <c r="B10" s="268" t="s">
        <v>491</v>
      </c>
      <c r="C10" s="118" t="s">
        <v>299</v>
      </c>
      <c r="D10" s="118">
        <v>1.53</v>
      </c>
      <c r="E10" s="12" t="s">
        <v>300</v>
      </c>
      <c r="F10" s="130"/>
      <c r="G10" s="130"/>
      <c r="H10" s="130"/>
      <c r="I10" s="102">
        <v>3</v>
      </c>
      <c r="J10" s="102">
        <v>3</v>
      </c>
      <c r="K10" s="102">
        <v>3</v>
      </c>
      <c r="L10" s="102">
        <v>3</v>
      </c>
      <c r="M10" s="102">
        <v>3</v>
      </c>
    </row>
    <row r="11" spans="1:13" ht="21">
      <c r="A11" s="4"/>
      <c r="B11" s="269"/>
      <c r="C11" s="6"/>
      <c r="D11" s="6"/>
      <c r="E11" s="6" t="s">
        <v>301</v>
      </c>
      <c r="F11" s="8"/>
      <c r="G11" s="8"/>
      <c r="H11" s="8"/>
      <c r="I11" s="134"/>
      <c r="J11" s="134"/>
      <c r="K11" s="134"/>
      <c r="L11" s="134"/>
      <c r="M11" s="134"/>
    </row>
    <row r="12" spans="1:13" ht="21">
      <c r="A12" s="9" t="s">
        <v>234</v>
      </c>
      <c r="B12" s="268" t="s">
        <v>495</v>
      </c>
      <c r="C12" s="118" t="s">
        <v>303</v>
      </c>
      <c r="D12" s="118"/>
      <c r="E12" s="12" t="s">
        <v>300</v>
      </c>
      <c r="F12" s="130"/>
      <c r="G12" s="130"/>
      <c r="H12" s="130"/>
      <c r="I12" s="130"/>
      <c r="J12" s="130"/>
      <c r="K12" s="130"/>
      <c r="L12" s="130"/>
      <c r="M12" s="130"/>
    </row>
    <row r="13" spans="1:13" ht="21">
      <c r="A13" s="4"/>
      <c r="B13" s="269"/>
      <c r="C13" s="6"/>
      <c r="D13" s="6"/>
      <c r="E13" s="6" t="s">
        <v>301</v>
      </c>
      <c r="F13" s="134"/>
      <c r="G13" s="134"/>
      <c r="H13" s="134"/>
      <c r="I13" s="134"/>
      <c r="J13" s="134"/>
      <c r="K13" s="134"/>
      <c r="L13" s="134"/>
      <c r="M13" s="134"/>
    </row>
    <row r="14" spans="1:13" ht="21">
      <c r="A14" s="9" t="s">
        <v>236</v>
      </c>
      <c r="B14" s="268" t="s">
        <v>496</v>
      </c>
      <c r="C14" s="118" t="s">
        <v>299</v>
      </c>
      <c r="D14" s="118">
        <v>1.53</v>
      </c>
      <c r="E14" s="12" t="s">
        <v>300</v>
      </c>
      <c r="F14" s="130"/>
      <c r="G14" s="130"/>
      <c r="H14" s="130"/>
      <c r="I14" s="14">
        <v>3</v>
      </c>
      <c r="J14" s="14">
        <v>3</v>
      </c>
      <c r="K14" s="14">
        <v>3</v>
      </c>
      <c r="L14" s="14">
        <v>3</v>
      </c>
      <c r="M14" s="14">
        <v>3</v>
      </c>
    </row>
    <row r="15" spans="1:13" ht="21">
      <c r="A15" s="4"/>
      <c r="B15" s="269"/>
      <c r="C15" s="6"/>
      <c r="D15" s="6"/>
      <c r="E15" s="6" t="s">
        <v>301</v>
      </c>
      <c r="F15" s="8"/>
      <c r="G15" s="8"/>
      <c r="H15" s="8"/>
      <c r="I15" s="134"/>
      <c r="J15" s="134"/>
      <c r="K15" s="134"/>
      <c r="L15" s="134"/>
      <c r="M15" s="134"/>
    </row>
    <row r="16" spans="1:13" ht="21">
      <c r="A16" s="119" t="s">
        <v>401</v>
      </c>
      <c r="B16" s="268" t="s">
        <v>500</v>
      </c>
      <c r="C16" s="120" t="s">
        <v>403</v>
      </c>
      <c r="D16" s="120"/>
      <c r="E16" s="12" t="s">
        <v>300</v>
      </c>
      <c r="F16" s="130"/>
      <c r="G16" s="130"/>
      <c r="H16" s="130"/>
      <c r="I16" s="130"/>
      <c r="J16" s="130"/>
      <c r="K16" s="130"/>
      <c r="L16" s="130"/>
      <c r="M16" s="130"/>
    </row>
    <row r="17" spans="1:13" ht="21">
      <c r="A17" s="18"/>
      <c r="B17" s="278"/>
      <c r="C17" s="20"/>
      <c r="D17" s="20"/>
      <c r="E17" s="20" t="s">
        <v>301</v>
      </c>
      <c r="F17" s="131"/>
      <c r="G17" s="131"/>
      <c r="H17" s="131"/>
      <c r="I17" s="131"/>
      <c r="J17" s="131"/>
      <c r="K17" s="131"/>
      <c r="L17" s="131"/>
      <c r="M17" s="131"/>
    </row>
    <row r="18" spans="1:13" ht="21">
      <c r="A18" s="115" t="s">
        <v>251</v>
      </c>
      <c r="B18" s="116"/>
      <c r="C18" s="117"/>
      <c r="D18" s="117">
        <v>0</v>
      </c>
      <c r="E18" s="117"/>
      <c r="F18" s="117"/>
      <c r="G18" s="117"/>
      <c r="H18" s="117"/>
      <c r="I18" s="117"/>
      <c r="J18" s="117"/>
      <c r="K18" s="117"/>
      <c r="L18" s="117"/>
      <c r="M18" s="117"/>
    </row>
    <row r="19" spans="1:13" ht="21">
      <c r="A19" s="9" t="s">
        <v>258</v>
      </c>
      <c r="B19" s="283" t="s">
        <v>501</v>
      </c>
      <c r="C19" s="118" t="s">
        <v>299</v>
      </c>
      <c r="D19" s="118"/>
      <c r="E19" s="6" t="s">
        <v>300</v>
      </c>
      <c r="F19" s="140"/>
      <c r="G19" s="140"/>
      <c r="H19" s="140"/>
      <c r="I19" s="140"/>
      <c r="J19" s="140"/>
      <c r="K19" s="140"/>
      <c r="L19" s="140"/>
      <c r="M19" s="140"/>
    </row>
    <row r="20" spans="1:13" ht="21">
      <c r="A20" s="18"/>
      <c r="B20" s="278"/>
      <c r="C20" s="20"/>
      <c r="D20" s="20"/>
      <c r="E20" s="20" t="s">
        <v>301</v>
      </c>
      <c r="F20" s="131"/>
      <c r="G20" s="131"/>
      <c r="H20" s="131"/>
      <c r="I20" s="131"/>
      <c r="J20" s="131"/>
      <c r="K20" s="131"/>
      <c r="L20" s="131"/>
      <c r="M20" s="131"/>
    </row>
    <row r="21" ht="21">
      <c r="A21" s="137" t="s">
        <v>448</v>
      </c>
    </row>
    <row r="22" spans="1:2" ht="21">
      <c r="A22" s="139" t="s">
        <v>449</v>
      </c>
      <c r="B22" t="s">
        <v>450</v>
      </c>
    </row>
    <row r="23" spans="1:2" ht="21">
      <c r="A23" s="139" t="s">
        <v>451</v>
      </c>
      <c r="B23" t="s">
        <v>452</v>
      </c>
    </row>
    <row r="24" spans="1:2" ht="21">
      <c r="A24" s="139" t="s">
        <v>453</v>
      </c>
      <c r="B24" t="s">
        <v>454</v>
      </c>
    </row>
    <row r="25" spans="1:2" ht="21">
      <c r="A25" s="139" t="s">
        <v>455</v>
      </c>
      <c r="B25" t="s">
        <v>456</v>
      </c>
    </row>
  </sheetData>
  <mergeCells count="13">
    <mergeCell ref="I2:M2"/>
    <mergeCell ref="F2:H2"/>
    <mergeCell ref="C2:C3"/>
    <mergeCell ref="D2:D3"/>
    <mergeCell ref="E2:E3"/>
    <mergeCell ref="B19:B20"/>
    <mergeCell ref="B16:B17"/>
    <mergeCell ref="B5:B6"/>
    <mergeCell ref="A2:B3"/>
    <mergeCell ref="B8:B9"/>
    <mergeCell ref="B10:B11"/>
    <mergeCell ref="B12:B13"/>
    <mergeCell ref="B14:B15"/>
  </mergeCells>
  <printOptions/>
  <pageMargins left="0.5905511811023623" right="0.5905511811023623" top="0.7874015748031497" bottom="0.984251968503937" header="0.5118110236220472" footer="0.5118110236220472"/>
  <pageSetup fitToHeight="0" fitToWidth="1" horizontalDpi="600" verticalDpi="600" orientation="landscape" paperSize="9" scale="81" r:id="rId1"/>
  <headerFooter alignWithMargins="0">
    <oddFooter>&amp;L&amp;F&amp;R&amp;A &amp;P/&amp;N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26">
    <tabColor indexed="34"/>
    <pageSetUpPr fitToPage="1"/>
  </sheetPr>
  <dimension ref="A1:M25"/>
  <sheetViews>
    <sheetView zoomScale="90" zoomScaleNormal="90" workbookViewId="0" topLeftCell="A1">
      <pane xSplit="3" ySplit="3" topLeftCell="F4" activePane="bottomRight" state="frozen"/>
      <selection pane="topLeft" activeCell="B14" sqref="B14:B15"/>
      <selection pane="topRight" activeCell="B14" sqref="B14:B15"/>
      <selection pane="bottomLeft" activeCell="B14" sqref="B14:B15"/>
      <selection pane="bottomRight" activeCell="B16" sqref="B16:B17"/>
    </sheetView>
  </sheetViews>
  <sheetFormatPr defaultColWidth="9.33203125" defaultRowHeight="21"/>
  <cols>
    <col min="1" max="1" width="7.33203125" style="137" customWidth="1"/>
    <col min="2" max="2" width="83.83203125" style="0" customWidth="1"/>
    <col min="3" max="5" width="10.33203125" style="138" customWidth="1"/>
    <col min="6" max="8" width="10.16015625" style="54" bestFit="1" customWidth="1"/>
    <col min="9" max="13" width="9.33203125" style="54" customWidth="1"/>
  </cols>
  <sheetData>
    <row r="1" spans="1:13" ht="23.25">
      <c r="A1" s="112" t="s">
        <v>511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</row>
    <row r="2" spans="1:13" ht="25.5" customHeight="1">
      <c r="A2" s="274" t="s">
        <v>294</v>
      </c>
      <c r="B2" s="275"/>
      <c r="C2" s="272" t="s">
        <v>295</v>
      </c>
      <c r="D2" s="272" t="s">
        <v>296</v>
      </c>
      <c r="E2" s="272" t="s">
        <v>297</v>
      </c>
      <c r="F2" s="271" t="s">
        <v>3</v>
      </c>
      <c r="G2" s="271"/>
      <c r="H2" s="271"/>
      <c r="I2" s="271" t="s">
        <v>4</v>
      </c>
      <c r="J2" s="271"/>
      <c r="K2" s="271"/>
      <c r="L2" s="271"/>
      <c r="M2" s="271"/>
    </row>
    <row r="3" spans="1:13" ht="25.5" customHeight="1">
      <c r="A3" s="276"/>
      <c r="B3" s="277"/>
      <c r="C3" s="273"/>
      <c r="D3" s="273"/>
      <c r="E3" s="273"/>
      <c r="F3" s="114">
        <v>2547</v>
      </c>
      <c r="G3" s="114">
        <v>2548</v>
      </c>
      <c r="H3" s="114">
        <v>2549</v>
      </c>
      <c r="I3" s="114">
        <v>2550</v>
      </c>
      <c r="J3" s="114">
        <v>2551</v>
      </c>
      <c r="K3" s="114">
        <v>2552</v>
      </c>
      <c r="L3" s="114">
        <v>2553</v>
      </c>
      <c r="M3" s="114">
        <v>2554</v>
      </c>
    </row>
    <row r="4" spans="1:13" ht="21">
      <c r="A4" s="115" t="s">
        <v>5</v>
      </c>
      <c r="B4" s="116"/>
      <c r="C4" s="117"/>
      <c r="D4" s="117">
        <v>6.67</v>
      </c>
      <c r="E4" s="117"/>
      <c r="F4" s="117"/>
      <c r="G4" s="117"/>
      <c r="H4" s="117"/>
      <c r="I4" s="117"/>
      <c r="J4" s="117"/>
      <c r="K4" s="117"/>
      <c r="L4" s="117"/>
      <c r="M4" s="117"/>
    </row>
    <row r="5" spans="1:13" ht="21">
      <c r="A5" s="9" t="s">
        <v>9</v>
      </c>
      <c r="B5" s="283" t="s">
        <v>458</v>
      </c>
      <c r="C5" s="118" t="s">
        <v>303</v>
      </c>
      <c r="D5" s="118">
        <v>6.67</v>
      </c>
      <c r="E5" s="6" t="s">
        <v>300</v>
      </c>
      <c r="F5" s="140"/>
      <c r="G5" s="140"/>
      <c r="H5" s="140"/>
      <c r="I5" s="8" t="s">
        <v>21</v>
      </c>
      <c r="J5" s="101">
        <v>80</v>
      </c>
      <c r="K5" s="101">
        <v>80</v>
      </c>
      <c r="L5" s="101">
        <v>80</v>
      </c>
      <c r="M5" s="101">
        <v>80</v>
      </c>
    </row>
    <row r="6" spans="1:13" ht="21">
      <c r="A6" s="18"/>
      <c r="B6" s="278"/>
      <c r="C6" s="20"/>
      <c r="D6" s="20"/>
      <c r="E6" s="20" t="s">
        <v>301</v>
      </c>
      <c r="F6" s="22"/>
      <c r="G6" s="22"/>
      <c r="H6" s="22"/>
      <c r="I6" s="131"/>
      <c r="J6" s="131"/>
      <c r="K6" s="131"/>
      <c r="L6" s="131"/>
      <c r="M6" s="131"/>
    </row>
    <row r="7" spans="1:13" ht="21">
      <c r="A7" s="115" t="s">
        <v>209</v>
      </c>
      <c r="B7" s="116"/>
      <c r="C7" s="117"/>
      <c r="D7" s="117">
        <v>3.06</v>
      </c>
      <c r="E7" s="117"/>
      <c r="F7" s="117"/>
      <c r="G7" s="117"/>
      <c r="H7" s="117"/>
      <c r="I7" s="117"/>
      <c r="J7" s="117"/>
      <c r="K7" s="117"/>
      <c r="L7" s="117"/>
      <c r="M7" s="117"/>
    </row>
    <row r="8" spans="1:13" ht="21">
      <c r="A8" s="9" t="s">
        <v>212</v>
      </c>
      <c r="B8" s="270" t="s">
        <v>490</v>
      </c>
      <c r="C8" s="118" t="s">
        <v>299</v>
      </c>
      <c r="D8" s="118">
        <v>1.53</v>
      </c>
      <c r="E8" s="6" t="s">
        <v>300</v>
      </c>
      <c r="F8" s="140"/>
      <c r="G8" s="140"/>
      <c r="H8" s="140"/>
      <c r="I8" s="8" t="s">
        <v>21</v>
      </c>
      <c r="J8" s="8">
        <v>3</v>
      </c>
      <c r="K8" s="8">
        <v>3</v>
      </c>
      <c r="L8" s="8">
        <v>3</v>
      </c>
      <c r="M8" s="8">
        <v>3</v>
      </c>
    </row>
    <row r="9" spans="1:13" ht="21">
      <c r="A9" s="4"/>
      <c r="B9" s="269"/>
      <c r="C9" s="6"/>
      <c r="D9" s="6"/>
      <c r="E9" s="6" t="s">
        <v>301</v>
      </c>
      <c r="F9" s="8"/>
      <c r="G9" s="8"/>
      <c r="H9" s="8"/>
      <c r="I9" s="134"/>
      <c r="J9" s="134"/>
      <c r="K9" s="134"/>
      <c r="L9" s="134"/>
      <c r="M9" s="134"/>
    </row>
    <row r="10" spans="1:13" ht="21">
      <c r="A10" s="9" t="s">
        <v>216</v>
      </c>
      <c r="B10" s="268" t="s">
        <v>491</v>
      </c>
      <c r="C10" s="118" t="s">
        <v>299</v>
      </c>
      <c r="D10" s="118">
        <v>1.53</v>
      </c>
      <c r="E10" s="12" t="s">
        <v>300</v>
      </c>
      <c r="F10" s="130"/>
      <c r="G10" s="130"/>
      <c r="H10" s="130"/>
      <c r="I10" s="14" t="s">
        <v>21</v>
      </c>
      <c r="J10" s="102">
        <v>3</v>
      </c>
      <c r="K10" s="102">
        <v>3</v>
      </c>
      <c r="L10" s="102">
        <v>3</v>
      </c>
      <c r="M10" s="102">
        <v>3</v>
      </c>
    </row>
    <row r="11" spans="1:13" ht="21">
      <c r="A11" s="4"/>
      <c r="B11" s="269"/>
      <c r="C11" s="6"/>
      <c r="D11" s="6"/>
      <c r="E11" s="6" t="s">
        <v>301</v>
      </c>
      <c r="F11" s="8"/>
      <c r="G11" s="8"/>
      <c r="H11" s="8"/>
      <c r="I11" s="134"/>
      <c r="J11" s="134"/>
      <c r="K11" s="134"/>
      <c r="L11" s="134"/>
      <c r="M11" s="134"/>
    </row>
    <row r="12" spans="1:13" ht="21">
      <c r="A12" s="9" t="s">
        <v>234</v>
      </c>
      <c r="B12" s="268" t="s">
        <v>495</v>
      </c>
      <c r="C12" s="118" t="s">
        <v>303</v>
      </c>
      <c r="D12" s="118"/>
      <c r="E12" s="12" t="s">
        <v>300</v>
      </c>
      <c r="F12" s="130"/>
      <c r="G12" s="130"/>
      <c r="H12" s="130"/>
      <c r="I12" s="130"/>
      <c r="J12" s="130"/>
      <c r="K12" s="130"/>
      <c r="L12" s="130"/>
      <c r="M12" s="130"/>
    </row>
    <row r="13" spans="1:13" ht="21">
      <c r="A13" s="4"/>
      <c r="B13" s="269"/>
      <c r="C13" s="6"/>
      <c r="D13" s="6"/>
      <c r="E13" s="6" t="s">
        <v>301</v>
      </c>
      <c r="F13" s="134"/>
      <c r="G13" s="134"/>
      <c r="H13" s="134"/>
      <c r="I13" s="134"/>
      <c r="J13" s="134"/>
      <c r="K13" s="134"/>
      <c r="L13" s="134"/>
      <c r="M13" s="134"/>
    </row>
    <row r="14" spans="1:13" ht="21">
      <c r="A14" s="9" t="s">
        <v>236</v>
      </c>
      <c r="B14" s="268" t="s">
        <v>496</v>
      </c>
      <c r="C14" s="118" t="s">
        <v>299</v>
      </c>
      <c r="D14" s="118"/>
      <c r="E14" s="12" t="s">
        <v>300</v>
      </c>
      <c r="F14" s="130"/>
      <c r="G14" s="130"/>
      <c r="H14" s="130"/>
      <c r="I14" s="130"/>
      <c r="J14" s="130"/>
      <c r="K14" s="130"/>
      <c r="L14" s="130"/>
      <c r="M14" s="130"/>
    </row>
    <row r="15" spans="1:13" ht="21">
      <c r="A15" s="4"/>
      <c r="B15" s="269"/>
      <c r="C15" s="6"/>
      <c r="D15" s="6"/>
      <c r="E15" s="6" t="s">
        <v>301</v>
      </c>
      <c r="F15" s="134"/>
      <c r="G15" s="134"/>
      <c r="H15" s="134"/>
      <c r="I15" s="134"/>
      <c r="J15" s="134"/>
      <c r="K15" s="134"/>
      <c r="L15" s="134"/>
      <c r="M15" s="134"/>
    </row>
    <row r="16" spans="1:13" ht="21">
      <c r="A16" s="119" t="s">
        <v>401</v>
      </c>
      <c r="B16" s="268" t="s">
        <v>500</v>
      </c>
      <c r="C16" s="120" t="s">
        <v>403</v>
      </c>
      <c r="D16" s="120"/>
      <c r="E16" s="12" t="s">
        <v>300</v>
      </c>
      <c r="F16" s="130"/>
      <c r="G16" s="130"/>
      <c r="H16" s="130"/>
      <c r="I16" s="130"/>
      <c r="J16" s="130"/>
      <c r="K16" s="130"/>
      <c r="L16" s="130"/>
      <c r="M16" s="130"/>
    </row>
    <row r="17" spans="1:13" ht="21">
      <c r="A17" s="18"/>
      <c r="B17" s="278"/>
      <c r="C17" s="20"/>
      <c r="D17" s="20"/>
      <c r="E17" s="20" t="s">
        <v>301</v>
      </c>
      <c r="F17" s="131"/>
      <c r="G17" s="131"/>
      <c r="H17" s="131"/>
      <c r="I17" s="131"/>
      <c r="J17" s="131"/>
      <c r="K17" s="131"/>
      <c r="L17" s="131"/>
      <c r="M17" s="131"/>
    </row>
    <row r="18" spans="1:13" ht="21">
      <c r="A18" s="115" t="s">
        <v>251</v>
      </c>
      <c r="B18" s="116"/>
      <c r="C18" s="117"/>
      <c r="D18" s="117">
        <v>0</v>
      </c>
      <c r="E18" s="117"/>
      <c r="F18" s="117"/>
      <c r="G18" s="117"/>
      <c r="H18" s="117"/>
      <c r="I18" s="117"/>
      <c r="J18" s="117"/>
      <c r="K18" s="117"/>
      <c r="L18" s="117"/>
      <c r="M18" s="117"/>
    </row>
    <row r="19" spans="1:13" ht="21">
      <c r="A19" s="9" t="s">
        <v>258</v>
      </c>
      <c r="B19" s="283" t="s">
        <v>501</v>
      </c>
      <c r="C19" s="118" t="s">
        <v>299</v>
      </c>
      <c r="D19" s="118"/>
      <c r="E19" s="6" t="s">
        <v>300</v>
      </c>
      <c r="F19" s="140"/>
      <c r="G19" s="140"/>
      <c r="H19" s="140"/>
      <c r="I19" s="140"/>
      <c r="J19" s="140"/>
      <c r="K19" s="140"/>
      <c r="L19" s="140"/>
      <c r="M19" s="140"/>
    </row>
    <row r="20" spans="1:13" ht="21">
      <c r="A20" s="18"/>
      <c r="B20" s="278"/>
      <c r="C20" s="20"/>
      <c r="D20" s="20"/>
      <c r="E20" s="20" t="s">
        <v>301</v>
      </c>
      <c r="F20" s="131"/>
      <c r="G20" s="131"/>
      <c r="H20" s="131"/>
      <c r="I20" s="131"/>
      <c r="J20" s="131"/>
      <c r="K20" s="131"/>
      <c r="L20" s="131"/>
      <c r="M20" s="131"/>
    </row>
    <row r="21" ht="21">
      <c r="A21" s="137" t="s">
        <v>448</v>
      </c>
    </row>
    <row r="22" spans="1:2" ht="21">
      <c r="A22" s="139" t="s">
        <v>449</v>
      </c>
      <c r="B22" t="s">
        <v>450</v>
      </c>
    </row>
    <row r="23" spans="1:2" ht="21">
      <c r="A23" s="139" t="s">
        <v>451</v>
      </c>
      <c r="B23" t="s">
        <v>452</v>
      </c>
    </row>
    <row r="24" spans="1:2" ht="21">
      <c r="A24" s="139" t="s">
        <v>453</v>
      </c>
      <c r="B24" t="s">
        <v>454</v>
      </c>
    </row>
    <row r="25" spans="1:2" ht="21">
      <c r="A25" s="139" t="s">
        <v>455</v>
      </c>
      <c r="B25" t="s">
        <v>456</v>
      </c>
    </row>
  </sheetData>
  <mergeCells count="13">
    <mergeCell ref="I2:M2"/>
    <mergeCell ref="F2:H2"/>
    <mergeCell ref="C2:C3"/>
    <mergeCell ref="D2:D3"/>
    <mergeCell ref="E2:E3"/>
    <mergeCell ref="B19:B20"/>
    <mergeCell ref="B16:B17"/>
    <mergeCell ref="B5:B6"/>
    <mergeCell ref="A2:B3"/>
    <mergeCell ref="B8:B9"/>
    <mergeCell ref="B10:B11"/>
    <mergeCell ref="B12:B13"/>
    <mergeCell ref="B14:B15"/>
  </mergeCells>
  <printOptions/>
  <pageMargins left="0.5905511811023623" right="0.5905511811023623" top="0.7874015748031497" bottom="0.984251968503937" header="0.5118110236220472" footer="0.5118110236220472"/>
  <pageSetup fitToHeight="0" fitToWidth="1" horizontalDpi="600" verticalDpi="600" orientation="landscape" paperSize="9" scale="80" r:id="rId1"/>
  <headerFooter alignWithMargins="0">
    <oddFooter>&amp;L&amp;F&amp;R&amp;A &amp;P/&amp;N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23">
    <tabColor indexed="34"/>
    <pageSetUpPr fitToPage="1"/>
  </sheetPr>
  <dimension ref="A1:M25"/>
  <sheetViews>
    <sheetView zoomScale="90" zoomScaleNormal="90" workbookViewId="0" topLeftCell="A1">
      <pane xSplit="3" ySplit="3" topLeftCell="D4" activePane="bottomRight" state="frozen"/>
      <selection pane="topLeft" activeCell="B18" sqref="B18"/>
      <selection pane="topRight" activeCell="B18" sqref="B18"/>
      <selection pane="bottomLeft" activeCell="B18" sqref="B18"/>
      <selection pane="bottomRight" activeCell="B4" sqref="B4"/>
    </sheetView>
  </sheetViews>
  <sheetFormatPr defaultColWidth="9.33203125" defaultRowHeight="21"/>
  <cols>
    <col min="1" max="1" width="7.33203125" style="137" customWidth="1"/>
    <col min="2" max="2" width="83.83203125" style="0" customWidth="1"/>
    <col min="3" max="5" width="10.33203125" style="138" customWidth="1"/>
    <col min="6" max="8" width="10.16015625" style="54" bestFit="1" customWidth="1"/>
    <col min="9" max="13" width="9.33203125" style="54" customWidth="1"/>
  </cols>
  <sheetData>
    <row r="1" spans="1:13" ht="23.25">
      <c r="A1" s="112" t="s">
        <v>512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</row>
    <row r="2" spans="1:13" ht="25.5" customHeight="1">
      <c r="A2" s="274" t="s">
        <v>294</v>
      </c>
      <c r="B2" s="275"/>
      <c r="C2" s="272" t="s">
        <v>295</v>
      </c>
      <c r="D2" s="272" t="s">
        <v>296</v>
      </c>
      <c r="E2" s="272" t="s">
        <v>297</v>
      </c>
      <c r="F2" s="271" t="s">
        <v>3</v>
      </c>
      <c r="G2" s="271"/>
      <c r="H2" s="271"/>
      <c r="I2" s="271" t="s">
        <v>4</v>
      </c>
      <c r="J2" s="271"/>
      <c r="K2" s="271"/>
      <c r="L2" s="271"/>
      <c r="M2" s="271"/>
    </row>
    <row r="3" spans="1:13" ht="25.5" customHeight="1">
      <c r="A3" s="276"/>
      <c r="B3" s="277"/>
      <c r="C3" s="273"/>
      <c r="D3" s="273"/>
      <c r="E3" s="273"/>
      <c r="F3" s="114">
        <v>2547</v>
      </c>
      <c r="G3" s="114">
        <v>2548</v>
      </c>
      <c r="H3" s="114">
        <v>2549</v>
      </c>
      <c r="I3" s="114">
        <v>2550</v>
      </c>
      <c r="J3" s="114">
        <v>2551</v>
      </c>
      <c r="K3" s="114">
        <v>2552</v>
      </c>
      <c r="L3" s="114">
        <v>2553</v>
      </c>
      <c r="M3" s="114">
        <v>2554</v>
      </c>
    </row>
    <row r="4" spans="1:13" ht="21">
      <c r="A4" s="115" t="s">
        <v>5</v>
      </c>
      <c r="B4" s="116"/>
      <c r="C4" s="117"/>
      <c r="D4" s="117">
        <v>6.67</v>
      </c>
      <c r="E4" s="117"/>
      <c r="F4" s="117"/>
      <c r="G4" s="117"/>
      <c r="H4" s="117"/>
      <c r="I4" s="117"/>
      <c r="J4" s="117"/>
      <c r="K4" s="117"/>
      <c r="L4" s="117"/>
      <c r="M4" s="117"/>
    </row>
    <row r="5" spans="1:13" ht="21">
      <c r="A5" s="9" t="s">
        <v>9</v>
      </c>
      <c r="B5" s="283" t="s">
        <v>458</v>
      </c>
      <c r="C5" s="118" t="s">
        <v>303</v>
      </c>
      <c r="D5" s="118">
        <v>6.67</v>
      </c>
      <c r="E5" s="6" t="s">
        <v>300</v>
      </c>
      <c r="F5" s="140"/>
      <c r="G5" s="140"/>
      <c r="H5" s="140"/>
      <c r="I5" s="8">
        <v>80</v>
      </c>
      <c r="J5" s="8">
        <v>80</v>
      </c>
      <c r="K5" s="8">
        <v>80</v>
      </c>
      <c r="L5" s="8">
        <v>80</v>
      </c>
      <c r="M5" s="8">
        <v>80</v>
      </c>
    </row>
    <row r="6" spans="1:13" ht="21">
      <c r="A6" s="18"/>
      <c r="B6" s="278"/>
      <c r="C6" s="20"/>
      <c r="D6" s="20"/>
      <c r="E6" s="20" t="s">
        <v>301</v>
      </c>
      <c r="F6" s="22"/>
      <c r="G6" s="22"/>
      <c r="H6" s="22"/>
      <c r="I6" s="131"/>
      <c r="J6" s="131"/>
      <c r="K6" s="131"/>
      <c r="L6" s="131"/>
      <c r="M6" s="131"/>
    </row>
    <row r="7" spans="1:13" ht="21">
      <c r="A7" s="115" t="s">
        <v>209</v>
      </c>
      <c r="B7" s="116"/>
      <c r="C7" s="117"/>
      <c r="D7" s="117">
        <v>4.59</v>
      </c>
      <c r="E7" s="117"/>
      <c r="F7" s="117"/>
      <c r="G7" s="117"/>
      <c r="H7" s="117"/>
      <c r="I7" s="117"/>
      <c r="J7" s="117"/>
      <c r="K7" s="117"/>
      <c r="L7" s="117"/>
      <c r="M7" s="117"/>
    </row>
    <row r="8" spans="1:13" ht="21">
      <c r="A8" s="9" t="s">
        <v>212</v>
      </c>
      <c r="B8" s="270" t="s">
        <v>490</v>
      </c>
      <c r="C8" s="118" t="s">
        <v>299</v>
      </c>
      <c r="D8" s="118">
        <v>1.53</v>
      </c>
      <c r="E8" s="6" t="s">
        <v>300</v>
      </c>
      <c r="F8" s="140"/>
      <c r="G8" s="140"/>
      <c r="H8" s="140"/>
      <c r="I8" s="8">
        <v>2</v>
      </c>
      <c r="J8" s="8">
        <v>3</v>
      </c>
      <c r="K8" s="8">
        <v>3</v>
      </c>
      <c r="L8" s="8">
        <v>3</v>
      </c>
      <c r="M8" s="8">
        <v>3</v>
      </c>
    </row>
    <row r="9" spans="1:13" ht="21">
      <c r="A9" s="4"/>
      <c r="B9" s="269"/>
      <c r="C9" s="6"/>
      <c r="D9" s="6"/>
      <c r="E9" s="6" t="s">
        <v>301</v>
      </c>
      <c r="F9" s="8"/>
      <c r="G9" s="8"/>
      <c r="H9" s="8"/>
      <c r="I9" s="134"/>
      <c r="J9" s="134"/>
      <c r="K9" s="134"/>
      <c r="L9" s="134"/>
      <c r="M9" s="134"/>
    </row>
    <row r="10" spans="1:13" ht="21">
      <c r="A10" s="9" t="s">
        <v>216</v>
      </c>
      <c r="B10" s="268" t="s">
        <v>491</v>
      </c>
      <c r="C10" s="118" t="s">
        <v>299</v>
      </c>
      <c r="D10" s="118">
        <v>1.53</v>
      </c>
      <c r="E10" s="12" t="s">
        <v>300</v>
      </c>
      <c r="F10" s="130"/>
      <c r="G10" s="130"/>
      <c r="H10" s="130"/>
      <c r="I10" s="14">
        <v>1</v>
      </c>
      <c r="J10" s="14">
        <v>3</v>
      </c>
      <c r="K10" s="14">
        <v>3</v>
      </c>
      <c r="L10" s="14">
        <v>3</v>
      </c>
      <c r="M10" s="14">
        <v>3</v>
      </c>
    </row>
    <row r="11" spans="1:13" ht="21">
      <c r="A11" s="4"/>
      <c r="B11" s="269"/>
      <c r="C11" s="6"/>
      <c r="D11" s="6"/>
      <c r="E11" s="6" t="s">
        <v>301</v>
      </c>
      <c r="F11" s="8"/>
      <c r="G11" s="8"/>
      <c r="H11" s="8"/>
      <c r="I11" s="134"/>
      <c r="J11" s="134"/>
      <c r="K11" s="134"/>
      <c r="L11" s="134"/>
      <c r="M11" s="134"/>
    </row>
    <row r="12" spans="1:13" ht="21">
      <c r="A12" s="9" t="s">
        <v>234</v>
      </c>
      <c r="B12" s="268" t="s">
        <v>495</v>
      </c>
      <c r="C12" s="118" t="s">
        <v>303</v>
      </c>
      <c r="D12" s="118"/>
      <c r="E12" s="12" t="s">
        <v>300</v>
      </c>
      <c r="F12" s="130"/>
      <c r="G12" s="130"/>
      <c r="H12" s="130"/>
      <c r="I12" s="130"/>
      <c r="J12" s="130"/>
      <c r="K12" s="130"/>
      <c r="L12" s="130"/>
      <c r="M12" s="130"/>
    </row>
    <row r="13" spans="1:13" ht="21">
      <c r="A13" s="4"/>
      <c r="B13" s="269"/>
      <c r="C13" s="6"/>
      <c r="D13" s="6"/>
      <c r="E13" s="6" t="s">
        <v>301</v>
      </c>
      <c r="F13" s="134"/>
      <c r="G13" s="134"/>
      <c r="H13" s="134"/>
      <c r="I13" s="134"/>
      <c r="J13" s="134"/>
      <c r="K13" s="134"/>
      <c r="L13" s="134"/>
      <c r="M13" s="134"/>
    </row>
    <row r="14" spans="1:13" ht="21">
      <c r="A14" s="9" t="s">
        <v>236</v>
      </c>
      <c r="B14" s="268" t="s">
        <v>496</v>
      </c>
      <c r="C14" s="118" t="s">
        <v>299</v>
      </c>
      <c r="D14" s="118">
        <v>1.53</v>
      </c>
      <c r="E14" s="12" t="s">
        <v>300</v>
      </c>
      <c r="F14" s="130"/>
      <c r="G14" s="130"/>
      <c r="H14" s="130"/>
      <c r="I14" s="14">
        <v>3</v>
      </c>
      <c r="J14" s="14">
        <v>3</v>
      </c>
      <c r="K14" s="14">
        <v>3</v>
      </c>
      <c r="L14" s="14">
        <v>3</v>
      </c>
      <c r="M14" s="14">
        <v>3</v>
      </c>
    </row>
    <row r="15" spans="1:13" ht="21">
      <c r="A15" s="4"/>
      <c r="B15" s="269"/>
      <c r="C15" s="6"/>
      <c r="D15" s="6"/>
      <c r="E15" s="6" t="s">
        <v>301</v>
      </c>
      <c r="F15" s="8"/>
      <c r="G15" s="8"/>
      <c r="H15" s="8"/>
      <c r="I15" s="134"/>
      <c r="J15" s="134"/>
      <c r="K15" s="134"/>
      <c r="L15" s="134"/>
      <c r="M15" s="134"/>
    </row>
    <row r="16" spans="1:13" ht="21">
      <c r="A16" s="119" t="s">
        <v>401</v>
      </c>
      <c r="B16" s="268" t="s">
        <v>500</v>
      </c>
      <c r="C16" s="120" t="s">
        <v>403</v>
      </c>
      <c r="D16" s="120"/>
      <c r="E16" s="12" t="s">
        <v>300</v>
      </c>
      <c r="F16" s="130"/>
      <c r="G16" s="130"/>
      <c r="H16" s="130"/>
      <c r="I16" s="130"/>
      <c r="J16" s="130"/>
      <c r="K16" s="130"/>
      <c r="L16" s="130"/>
      <c r="M16" s="130"/>
    </row>
    <row r="17" spans="1:13" ht="21">
      <c r="A17" s="18"/>
      <c r="B17" s="278"/>
      <c r="C17" s="20"/>
      <c r="D17" s="20"/>
      <c r="E17" s="20" t="s">
        <v>301</v>
      </c>
      <c r="F17" s="131"/>
      <c r="G17" s="131"/>
      <c r="H17" s="131"/>
      <c r="I17" s="131"/>
      <c r="J17" s="131"/>
      <c r="K17" s="131"/>
      <c r="L17" s="131"/>
      <c r="M17" s="131"/>
    </row>
    <row r="18" spans="1:13" ht="21">
      <c r="A18" s="115" t="s">
        <v>251</v>
      </c>
      <c r="B18" s="116"/>
      <c r="C18" s="117"/>
      <c r="D18" s="117">
        <v>0</v>
      </c>
      <c r="E18" s="117"/>
      <c r="F18" s="117"/>
      <c r="G18" s="117"/>
      <c r="H18" s="117"/>
      <c r="I18" s="117"/>
      <c r="J18" s="117"/>
      <c r="K18" s="117"/>
      <c r="L18" s="117"/>
      <c r="M18" s="117"/>
    </row>
    <row r="19" spans="1:13" ht="21">
      <c r="A19" s="9" t="s">
        <v>258</v>
      </c>
      <c r="B19" s="283" t="s">
        <v>501</v>
      </c>
      <c r="C19" s="118" t="s">
        <v>299</v>
      </c>
      <c r="D19" s="118"/>
      <c r="E19" s="6" t="s">
        <v>300</v>
      </c>
      <c r="F19" s="140"/>
      <c r="G19" s="140"/>
      <c r="H19" s="140"/>
      <c r="I19" s="140"/>
      <c r="J19" s="140"/>
      <c r="K19" s="140"/>
      <c r="L19" s="140"/>
      <c r="M19" s="140"/>
    </row>
    <row r="20" spans="1:13" ht="21">
      <c r="A20" s="18"/>
      <c r="B20" s="278"/>
      <c r="C20" s="20"/>
      <c r="D20" s="20"/>
      <c r="E20" s="20" t="s">
        <v>301</v>
      </c>
      <c r="F20" s="131"/>
      <c r="G20" s="131"/>
      <c r="H20" s="131"/>
      <c r="I20" s="131"/>
      <c r="J20" s="131"/>
      <c r="K20" s="131"/>
      <c r="L20" s="131"/>
      <c r="M20" s="131"/>
    </row>
    <row r="21" ht="21">
      <c r="A21" s="137" t="s">
        <v>448</v>
      </c>
    </row>
    <row r="22" spans="1:2" ht="21">
      <c r="A22" s="139" t="s">
        <v>449</v>
      </c>
      <c r="B22" t="s">
        <v>450</v>
      </c>
    </row>
    <row r="23" spans="1:2" ht="21">
      <c r="A23" s="139" t="s">
        <v>451</v>
      </c>
      <c r="B23" t="s">
        <v>452</v>
      </c>
    </row>
    <row r="24" spans="1:2" ht="21">
      <c r="A24" s="139" t="s">
        <v>453</v>
      </c>
      <c r="B24" t="s">
        <v>454</v>
      </c>
    </row>
    <row r="25" spans="1:2" ht="21">
      <c r="A25" s="139" t="s">
        <v>455</v>
      </c>
      <c r="B25" t="s">
        <v>456</v>
      </c>
    </row>
  </sheetData>
  <mergeCells count="13">
    <mergeCell ref="I2:M2"/>
    <mergeCell ref="F2:H2"/>
    <mergeCell ref="C2:C3"/>
    <mergeCell ref="D2:D3"/>
    <mergeCell ref="E2:E3"/>
    <mergeCell ref="B19:B20"/>
    <mergeCell ref="B16:B17"/>
    <mergeCell ref="B5:B6"/>
    <mergeCell ref="A2:B3"/>
    <mergeCell ref="B8:B9"/>
    <mergeCell ref="B10:B11"/>
    <mergeCell ref="B12:B13"/>
    <mergeCell ref="B14:B15"/>
  </mergeCells>
  <printOptions/>
  <pageMargins left="0.5905511811023623" right="0.5905511811023623" top="0.7874015748031497" bottom="0.984251968503937" header="0.5118110236220472" footer="0.5118110236220472"/>
  <pageSetup fitToHeight="0" fitToWidth="1" horizontalDpi="600" verticalDpi="600" orientation="landscape" paperSize="9" scale="80" r:id="rId1"/>
  <headerFooter alignWithMargins="0">
    <oddFooter>&amp;L&amp;F&amp;R&amp;A &amp;P/&amp;N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29">
    <tabColor indexed="34"/>
    <pageSetUpPr fitToPage="1"/>
  </sheetPr>
  <dimension ref="A1:M23"/>
  <sheetViews>
    <sheetView zoomScale="90" zoomScaleNormal="90" workbookViewId="0" topLeftCell="A1">
      <pane xSplit="3" ySplit="3" topLeftCell="D4" activePane="bottomRight" state="frozen"/>
      <selection pane="topLeft" activeCell="B14" sqref="B14:B15"/>
      <selection pane="topRight" activeCell="B14" sqref="B14:B15"/>
      <selection pane="bottomLeft" activeCell="B14" sqref="B14:B15"/>
      <selection pane="bottomRight" activeCell="B4" sqref="B4"/>
    </sheetView>
  </sheetViews>
  <sheetFormatPr defaultColWidth="9.33203125" defaultRowHeight="21"/>
  <cols>
    <col min="1" max="1" width="7.33203125" style="137" customWidth="1"/>
    <col min="2" max="2" width="83.83203125" style="0" customWidth="1"/>
    <col min="3" max="5" width="10.33203125" style="138" customWidth="1"/>
    <col min="6" max="8" width="10.16015625" style="54" bestFit="1" customWidth="1"/>
    <col min="9" max="13" width="9.33203125" style="54" customWidth="1"/>
  </cols>
  <sheetData>
    <row r="1" spans="1:13" ht="23.25">
      <c r="A1" s="112" t="s">
        <v>513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</row>
    <row r="2" spans="1:13" ht="25.5" customHeight="1">
      <c r="A2" s="274" t="s">
        <v>294</v>
      </c>
      <c r="B2" s="275"/>
      <c r="C2" s="272" t="s">
        <v>295</v>
      </c>
      <c r="D2" s="272" t="s">
        <v>296</v>
      </c>
      <c r="E2" s="272" t="s">
        <v>297</v>
      </c>
      <c r="F2" s="271" t="s">
        <v>3</v>
      </c>
      <c r="G2" s="271"/>
      <c r="H2" s="271"/>
      <c r="I2" s="271" t="s">
        <v>4</v>
      </c>
      <c r="J2" s="271"/>
      <c r="K2" s="271"/>
      <c r="L2" s="271"/>
      <c r="M2" s="271"/>
    </row>
    <row r="3" spans="1:13" ht="25.5" customHeight="1">
      <c r="A3" s="276"/>
      <c r="B3" s="277"/>
      <c r="C3" s="273"/>
      <c r="D3" s="273"/>
      <c r="E3" s="273"/>
      <c r="F3" s="114">
        <v>2547</v>
      </c>
      <c r="G3" s="114">
        <v>2548</v>
      </c>
      <c r="H3" s="114">
        <v>2549</v>
      </c>
      <c r="I3" s="114">
        <v>2550</v>
      </c>
      <c r="J3" s="114">
        <v>2551</v>
      </c>
      <c r="K3" s="114">
        <v>2552</v>
      </c>
      <c r="L3" s="114">
        <v>2553</v>
      </c>
      <c r="M3" s="114">
        <v>2554</v>
      </c>
    </row>
    <row r="4" spans="1:13" ht="21">
      <c r="A4" s="115" t="s">
        <v>5</v>
      </c>
      <c r="B4" s="116"/>
      <c r="C4" s="117"/>
      <c r="D4" s="117">
        <v>6.67</v>
      </c>
      <c r="E4" s="117"/>
      <c r="F4" s="117"/>
      <c r="G4" s="117"/>
      <c r="H4" s="117"/>
      <c r="I4" s="117"/>
      <c r="J4" s="117"/>
      <c r="K4" s="117"/>
      <c r="L4" s="117"/>
      <c r="M4" s="117"/>
    </row>
    <row r="5" spans="1:13" ht="21">
      <c r="A5" s="9" t="s">
        <v>9</v>
      </c>
      <c r="B5" s="283" t="s">
        <v>458</v>
      </c>
      <c r="C5" s="118" t="s">
        <v>303</v>
      </c>
      <c r="D5" s="118">
        <v>6.67</v>
      </c>
      <c r="E5" s="6" t="s">
        <v>300</v>
      </c>
      <c r="F5" s="140"/>
      <c r="G5" s="140"/>
      <c r="H5" s="140"/>
      <c r="I5" s="8">
        <v>80</v>
      </c>
      <c r="J5" s="8">
        <v>80</v>
      </c>
      <c r="K5" s="8">
        <v>80</v>
      </c>
      <c r="L5" s="8">
        <v>80</v>
      </c>
      <c r="M5" s="8">
        <v>80</v>
      </c>
    </row>
    <row r="6" spans="1:13" ht="21">
      <c r="A6" s="18"/>
      <c r="B6" s="278"/>
      <c r="C6" s="20"/>
      <c r="D6" s="20"/>
      <c r="E6" s="20" t="s">
        <v>301</v>
      </c>
      <c r="F6" s="22" t="s">
        <v>26</v>
      </c>
      <c r="G6" s="22" t="s">
        <v>26</v>
      </c>
      <c r="H6" s="22" t="s">
        <v>26</v>
      </c>
      <c r="I6" s="134"/>
      <c r="J6" s="134"/>
      <c r="K6" s="134"/>
      <c r="L6" s="134"/>
      <c r="M6" s="134"/>
    </row>
    <row r="7" spans="1:13" ht="21">
      <c r="A7" s="115" t="s">
        <v>209</v>
      </c>
      <c r="B7" s="116"/>
      <c r="C7" s="117"/>
      <c r="D7" s="117">
        <v>4.59</v>
      </c>
      <c r="E7" s="117"/>
      <c r="F7" s="117"/>
      <c r="G7" s="117"/>
      <c r="H7" s="117"/>
      <c r="I7" s="117"/>
      <c r="J7" s="117"/>
      <c r="K7" s="117"/>
      <c r="L7" s="117"/>
      <c r="M7" s="117"/>
    </row>
    <row r="8" spans="1:13" ht="21">
      <c r="A8" s="9" t="s">
        <v>212</v>
      </c>
      <c r="B8" s="270" t="s">
        <v>490</v>
      </c>
      <c r="C8" s="118" t="s">
        <v>299</v>
      </c>
      <c r="D8" s="118">
        <v>1.53</v>
      </c>
      <c r="E8" s="6" t="s">
        <v>300</v>
      </c>
      <c r="F8" s="140"/>
      <c r="G8" s="140"/>
      <c r="H8" s="140"/>
      <c r="I8" s="8">
        <v>2</v>
      </c>
      <c r="J8" s="8">
        <v>3</v>
      </c>
      <c r="K8" s="8">
        <v>3</v>
      </c>
      <c r="L8" s="8">
        <v>3</v>
      </c>
      <c r="M8" s="8">
        <v>3</v>
      </c>
    </row>
    <row r="9" spans="1:13" ht="21">
      <c r="A9" s="4"/>
      <c r="B9" s="269"/>
      <c r="C9" s="6"/>
      <c r="D9" s="6"/>
      <c r="E9" s="6" t="s">
        <v>301</v>
      </c>
      <c r="F9" s="8" t="s">
        <v>26</v>
      </c>
      <c r="G9" s="8" t="s">
        <v>26</v>
      </c>
      <c r="H9" s="8" t="s">
        <v>26</v>
      </c>
      <c r="I9" s="134"/>
      <c r="J9" s="134"/>
      <c r="K9" s="134"/>
      <c r="L9" s="134"/>
      <c r="M9" s="134"/>
    </row>
    <row r="10" spans="1:13" ht="21">
      <c r="A10" s="9" t="s">
        <v>216</v>
      </c>
      <c r="B10" s="268" t="s">
        <v>491</v>
      </c>
      <c r="C10" s="118" t="s">
        <v>299</v>
      </c>
      <c r="D10" s="118">
        <v>1.53</v>
      </c>
      <c r="E10" s="12" t="s">
        <v>300</v>
      </c>
      <c r="F10" s="130"/>
      <c r="G10" s="130"/>
      <c r="H10" s="130"/>
      <c r="I10" s="14">
        <v>1</v>
      </c>
      <c r="J10" s="14">
        <v>3</v>
      </c>
      <c r="K10" s="14">
        <v>3</v>
      </c>
      <c r="L10" s="14">
        <v>3</v>
      </c>
      <c r="M10" s="14">
        <v>3</v>
      </c>
    </row>
    <row r="11" spans="1:13" ht="21">
      <c r="A11" s="4"/>
      <c r="B11" s="269"/>
      <c r="C11" s="6"/>
      <c r="D11" s="6"/>
      <c r="E11" s="6" t="s">
        <v>301</v>
      </c>
      <c r="F11" s="8" t="s">
        <v>26</v>
      </c>
      <c r="G11" s="8" t="s">
        <v>26</v>
      </c>
      <c r="H11" s="8" t="s">
        <v>26</v>
      </c>
      <c r="I11" s="60"/>
      <c r="J11" s="60"/>
      <c r="K11" s="60"/>
      <c r="L11" s="60"/>
      <c r="M11" s="60"/>
    </row>
    <row r="12" spans="1:13" ht="21">
      <c r="A12" s="9" t="s">
        <v>234</v>
      </c>
      <c r="B12" s="268" t="s">
        <v>495</v>
      </c>
      <c r="C12" s="118" t="s">
        <v>303</v>
      </c>
      <c r="D12" s="118"/>
      <c r="E12" s="12" t="s">
        <v>300</v>
      </c>
      <c r="F12" s="130"/>
      <c r="G12" s="130"/>
      <c r="H12" s="130"/>
      <c r="I12" s="130"/>
      <c r="J12" s="130"/>
      <c r="K12" s="130"/>
      <c r="L12" s="130"/>
      <c r="M12" s="130"/>
    </row>
    <row r="13" spans="1:13" ht="21">
      <c r="A13" s="4"/>
      <c r="B13" s="269"/>
      <c r="C13" s="6"/>
      <c r="D13" s="6"/>
      <c r="E13" s="6" t="s">
        <v>301</v>
      </c>
      <c r="F13" s="134" t="s">
        <v>26</v>
      </c>
      <c r="G13" s="134" t="s">
        <v>26</v>
      </c>
      <c r="H13" s="134" t="s">
        <v>26</v>
      </c>
      <c r="I13" s="134"/>
      <c r="J13" s="134"/>
      <c r="K13" s="134"/>
      <c r="L13" s="134"/>
      <c r="M13" s="134"/>
    </row>
    <row r="14" spans="1:13" ht="21">
      <c r="A14" s="119" t="s">
        <v>401</v>
      </c>
      <c r="B14" s="268" t="s">
        <v>500</v>
      </c>
      <c r="C14" s="120" t="s">
        <v>403</v>
      </c>
      <c r="D14" s="120"/>
      <c r="E14" s="12" t="s">
        <v>300</v>
      </c>
      <c r="F14" s="130"/>
      <c r="G14" s="130"/>
      <c r="H14" s="130"/>
      <c r="I14" s="130"/>
      <c r="J14" s="130"/>
      <c r="K14" s="130"/>
      <c r="L14" s="130"/>
      <c r="M14" s="130"/>
    </row>
    <row r="15" spans="1:13" ht="21">
      <c r="A15" s="18"/>
      <c r="B15" s="278"/>
      <c r="C15" s="20"/>
      <c r="D15" s="20"/>
      <c r="E15" s="20" t="s">
        <v>301</v>
      </c>
      <c r="F15" s="134" t="s">
        <v>26</v>
      </c>
      <c r="G15" s="131" t="s">
        <v>26</v>
      </c>
      <c r="H15" s="131" t="s">
        <v>26</v>
      </c>
      <c r="I15" s="131"/>
      <c r="J15" s="131"/>
      <c r="K15" s="131"/>
      <c r="L15" s="131"/>
      <c r="M15" s="131"/>
    </row>
    <row r="16" spans="1:13" ht="21">
      <c r="A16" s="115" t="s">
        <v>251</v>
      </c>
      <c r="B16" s="116"/>
      <c r="C16" s="117"/>
      <c r="D16" s="117">
        <v>0</v>
      </c>
      <c r="E16" s="117"/>
      <c r="F16" s="117"/>
      <c r="G16" s="117"/>
      <c r="H16" s="117"/>
      <c r="I16" s="117"/>
      <c r="J16" s="117"/>
      <c r="K16" s="117"/>
      <c r="L16" s="117"/>
      <c r="M16" s="117"/>
    </row>
    <row r="17" spans="1:13" ht="21">
      <c r="A17" s="9" t="s">
        <v>258</v>
      </c>
      <c r="B17" s="283" t="s">
        <v>501</v>
      </c>
      <c r="C17" s="118" t="s">
        <v>299</v>
      </c>
      <c r="D17" s="118"/>
      <c r="E17" s="6" t="s">
        <v>300</v>
      </c>
      <c r="F17" s="140"/>
      <c r="G17" s="140"/>
      <c r="H17" s="140"/>
      <c r="I17" s="140"/>
      <c r="J17" s="140"/>
      <c r="K17" s="140"/>
      <c r="L17" s="140"/>
      <c r="M17" s="140"/>
    </row>
    <row r="18" spans="1:13" ht="21">
      <c r="A18" s="18"/>
      <c r="B18" s="278"/>
      <c r="C18" s="20"/>
      <c r="D18" s="20"/>
      <c r="E18" s="20" t="s">
        <v>301</v>
      </c>
      <c r="F18" s="131" t="s">
        <v>26</v>
      </c>
      <c r="G18" s="131" t="s">
        <v>26</v>
      </c>
      <c r="H18" s="131" t="s">
        <v>26</v>
      </c>
      <c r="I18" s="131"/>
      <c r="J18" s="131"/>
      <c r="K18" s="131"/>
      <c r="L18" s="131"/>
      <c r="M18" s="131"/>
    </row>
    <row r="19" ht="21">
      <c r="A19" s="137" t="s">
        <v>448</v>
      </c>
    </row>
    <row r="20" spans="1:2" ht="21">
      <c r="A20" s="139" t="s">
        <v>449</v>
      </c>
      <c r="B20" t="s">
        <v>450</v>
      </c>
    </row>
    <row r="21" spans="1:2" ht="21">
      <c r="A21" s="139" t="s">
        <v>451</v>
      </c>
      <c r="B21" t="s">
        <v>452</v>
      </c>
    </row>
    <row r="22" spans="1:2" ht="21">
      <c r="A22" s="139" t="s">
        <v>453</v>
      </c>
      <c r="B22" t="s">
        <v>454</v>
      </c>
    </row>
    <row r="23" spans="1:2" ht="21">
      <c r="A23" s="139" t="s">
        <v>455</v>
      </c>
      <c r="B23" t="s">
        <v>456</v>
      </c>
    </row>
  </sheetData>
  <mergeCells count="12">
    <mergeCell ref="B17:B18"/>
    <mergeCell ref="B14:B15"/>
    <mergeCell ref="B5:B6"/>
    <mergeCell ref="A2:B3"/>
    <mergeCell ref="B8:B9"/>
    <mergeCell ref="B10:B11"/>
    <mergeCell ref="B12:B13"/>
    <mergeCell ref="I2:M2"/>
    <mergeCell ref="F2:H2"/>
    <mergeCell ref="C2:C3"/>
    <mergeCell ref="D2:D3"/>
    <mergeCell ref="E2:E3"/>
  </mergeCells>
  <printOptions/>
  <pageMargins left="0.5905511811023623" right="0.5905511811023623" top="0.7874015748031497" bottom="0.984251968503937" header="0.5118110236220472" footer="0.5118110236220472"/>
  <pageSetup fitToHeight="0" fitToWidth="1" horizontalDpi="600" verticalDpi="600" orientation="landscape" paperSize="9" scale="81" r:id="rId1"/>
  <headerFooter alignWithMargins="0">
    <oddFooter>&amp;L&amp;F&amp;R&amp;A &amp;P/&amp;N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32">
    <tabColor indexed="34"/>
    <pageSetUpPr fitToPage="1"/>
  </sheetPr>
  <dimension ref="A1:M28"/>
  <sheetViews>
    <sheetView zoomScale="90" zoomScaleNormal="90" workbookViewId="0" topLeftCell="A1">
      <pane xSplit="3" ySplit="3" topLeftCell="D4" activePane="bottomRight" state="frozen"/>
      <selection pane="topLeft" activeCell="B14" sqref="B14:B15"/>
      <selection pane="topRight" activeCell="B14" sqref="B14:B15"/>
      <selection pane="bottomLeft" activeCell="B14" sqref="B14:B15"/>
      <selection pane="bottomRight" activeCell="C19" sqref="C19"/>
    </sheetView>
  </sheetViews>
  <sheetFormatPr defaultColWidth="9.33203125" defaultRowHeight="21"/>
  <cols>
    <col min="1" max="1" width="7.33203125" style="137" customWidth="1"/>
    <col min="2" max="2" width="83.83203125" style="0" customWidth="1"/>
    <col min="3" max="5" width="10.33203125" style="138" customWidth="1"/>
    <col min="6" max="8" width="10.16015625" style="54" bestFit="1" customWidth="1"/>
    <col min="9" max="13" width="9.83203125" style="54" customWidth="1"/>
  </cols>
  <sheetData>
    <row r="1" spans="1:13" ht="23.25">
      <c r="A1" s="112" t="s">
        <v>514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</row>
    <row r="2" spans="1:13" ht="25.5" customHeight="1">
      <c r="A2" s="274" t="s">
        <v>294</v>
      </c>
      <c r="B2" s="275"/>
      <c r="C2" s="272" t="s">
        <v>295</v>
      </c>
      <c r="D2" s="272" t="s">
        <v>296</v>
      </c>
      <c r="E2" s="272" t="s">
        <v>297</v>
      </c>
      <c r="F2" s="271" t="s">
        <v>3</v>
      </c>
      <c r="G2" s="271"/>
      <c r="H2" s="271"/>
      <c r="I2" s="271" t="s">
        <v>4</v>
      </c>
      <c r="J2" s="271"/>
      <c r="K2" s="271"/>
      <c r="L2" s="271"/>
      <c r="M2" s="271"/>
    </row>
    <row r="3" spans="1:13" ht="25.5" customHeight="1">
      <c r="A3" s="276"/>
      <c r="B3" s="277"/>
      <c r="C3" s="273"/>
      <c r="D3" s="273"/>
      <c r="E3" s="273"/>
      <c r="F3" s="114">
        <v>2547</v>
      </c>
      <c r="G3" s="114">
        <v>2548</v>
      </c>
      <c r="H3" s="114">
        <v>2549</v>
      </c>
      <c r="I3" s="114">
        <v>2550</v>
      </c>
      <c r="J3" s="114">
        <v>2551</v>
      </c>
      <c r="K3" s="114">
        <v>2552</v>
      </c>
      <c r="L3" s="114">
        <v>2553</v>
      </c>
      <c r="M3" s="114">
        <v>2554</v>
      </c>
    </row>
    <row r="4" spans="1:13" ht="21">
      <c r="A4" s="115" t="s">
        <v>5</v>
      </c>
      <c r="B4" s="116"/>
      <c r="C4" s="117"/>
      <c r="D4" s="117">
        <v>6.67</v>
      </c>
      <c r="E4" s="117"/>
      <c r="F4" s="117"/>
      <c r="G4" s="117"/>
      <c r="H4" s="117"/>
      <c r="I4" s="117"/>
      <c r="J4" s="117"/>
      <c r="K4" s="117"/>
      <c r="L4" s="117"/>
      <c r="M4" s="117"/>
    </row>
    <row r="5" spans="1:13" ht="21">
      <c r="A5" s="9" t="s">
        <v>9</v>
      </c>
      <c r="B5" s="283" t="s">
        <v>302</v>
      </c>
      <c r="C5" s="118" t="s">
        <v>303</v>
      </c>
      <c r="D5" s="118">
        <v>6.67</v>
      </c>
      <c r="E5" s="6" t="s">
        <v>300</v>
      </c>
      <c r="F5" s="140"/>
      <c r="G5" s="140"/>
      <c r="H5" s="140"/>
      <c r="I5" s="8">
        <v>80</v>
      </c>
      <c r="J5" s="8">
        <v>80</v>
      </c>
      <c r="K5" s="8">
        <v>80</v>
      </c>
      <c r="L5" s="8">
        <v>80</v>
      </c>
      <c r="M5" s="8">
        <v>80</v>
      </c>
    </row>
    <row r="6" spans="1:13" ht="21">
      <c r="A6" s="18"/>
      <c r="B6" s="278"/>
      <c r="C6" s="20"/>
      <c r="D6" s="20"/>
      <c r="E6" s="20" t="s">
        <v>301</v>
      </c>
      <c r="F6" s="22"/>
      <c r="G6" s="22"/>
      <c r="H6" s="22"/>
      <c r="I6" s="131"/>
      <c r="J6" s="131"/>
      <c r="K6" s="131"/>
      <c r="L6" s="131"/>
      <c r="M6" s="131"/>
    </row>
    <row r="7" spans="1:13" ht="21">
      <c r="A7" s="115" t="s">
        <v>209</v>
      </c>
      <c r="B7" s="116"/>
      <c r="C7" s="117"/>
      <c r="D7" s="117">
        <v>4.59</v>
      </c>
      <c r="E7" s="117"/>
      <c r="F7" s="117"/>
      <c r="G7" s="117"/>
      <c r="H7" s="117"/>
      <c r="I7" s="117"/>
      <c r="J7" s="117"/>
      <c r="K7" s="117"/>
      <c r="L7" s="117"/>
      <c r="M7" s="117"/>
    </row>
    <row r="8" spans="1:13" ht="21">
      <c r="A8" s="9" t="s">
        <v>212</v>
      </c>
      <c r="B8" s="270" t="s">
        <v>389</v>
      </c>
      <c r="C8" s="118" t="s">
        <v>299</v>
      </c>
      <c r="D8" s="118">
        <v>1.53</v>
      </c>
      <c r="E8" s="6" t="s">
        <v>300</v>
      </c>
      <c r="F8" s="140"/>
      <c r="G8" s="140"/>
      <c r="H8" s="140"/>
      <c r="I8" s="8">
        <v>3</v>
      </c>
      <c r="J8" s="8">
        <v>3</v>
      </c>
      <c r="K8" s="8">
        <v>3</v>
      </c>
      <c r="L8" s="8">
        <v>3</v>
      </c>
      <c r="M8" s="8">
        <v>3</v>
      </c>
    </row>
    <row r="9" spans="1:13" ht="21">
      <c r="A9" s="4"/>
      <c r="B9" s="269"/>
      <c r="C9" s="6"/>
      <c r="D9" s="6"/>
      <c r="E9" s="6" t="s">
        <v>301</v>
      </c>
      <c r="F9" s="8"/>
      <c r="G9" s="8"/>
      <c r="H9" s="8"/>
      <c r="I9" s="134"/>
      <c r="J9" s="134"/>
      <c r="K9" s="134"/>
      <c r="L9" s="134"/>
      <c r="M9" s="134"/>
    </row>
    <row r="10" spans="1:13" ht="21">
      <c r="A10" s="9" t="s">
        <v>216</v>
      </c>
      <c r="B10" s="268" t="s">
        <v>391</v>
      </c>
      <c r="C10" s="118" t="s">
        <v>299</v>
      </c>
      <c r="D10" s="118">
        <v>1.53</v>
      </c>
      <c r="E10" s="12" t="s">
        <v>300</v>
      </c>
      <c r="F10" s="130"/>
      <c r="G10" s="130"/>
      <c r="H10" s="130"/>
      <c r="I10" s="14">
        <v>3</v>
      </c>
      <c r="J10" s="14">
        <v>3</v>
      </c>
      <c r="K10" s="14">
        <v>3</v>
      </c>
      <c r="L10" s="14">
        <v>3</v>
      </c>
      <c r="M10" s="14">
        <v>3</v>
      </c>
    </row>
    <row r="11" spans="1:13" ht="21">
      <c r="A11" s="4"/>
      <c r="B11" s="269"/>
      <c r="C11" s="6"/>
      <c r="D11" s="6"/>
      <c r="E11" s="6" t="s">
        <v>301</v>
      </c>
      <c r="F11" s="8"/>
      <c r="G11" s="8"/>
      <c r="H11" s="8"/>
      <c r="I11" s="134"/>
      <c r="J11" s="134"/>
      <c r="K11" s="134"/>
      <c r="L11" s="134"/>
      <c r="M11" s="134"/>
    </row>
    <row r="12" spans="1:13" ht="21">
      <c r="A12" s="9" t="s">
        <v>234</v>
      </c>
      <c r="B12" s="268" t="s">
        <v>399</v>
      </c>
      <c r="C12" s="118" t="s">
        <v>303</v>
      </c>
      <c r="D12" s="118"/>
      <c r="E12" s="12" t="s">
        <v>300</v>
      </c>
      <c r="F12" s="130"/>
      <c r="G12" s="130"/>
      <c r="H12" s="130"/>
      <c r="I12" s="130"/>
      <c r="J12" s="130"/>
      <c r="K12" s="130"/>
      <c r="L12" s="130"/>
      <c r="M12" s="130"/>
    </row>
    <row r="13" spans="1:13" ht="21">
      <c r="A13" s="4"/>
      <c r="B13" s="269"/>
      <c r="C13" s="6"/>
      <c r="D13" s="6"/>
      <c r="E13" s="6" t="s">
        <v>301</v>
      </c>
      <c r="F13" s="134"/>
      <c r="G13" s="134"/>
      <c r="H13" s="134"/>
      <c r="I13" s="134"/>
      <c r="J13" s="134"/>
      <c r="K13" s="134"/>
      <c r="L13" s="134"/>
      <c r="M13" s="134"/>
    </row>
    <row r="14" spans="1:13" ht="21">
      <c r="A14" s="9" t="s">
        <v>236</v>
      </c>
      <c r="B14" s="268" t="s">
        <v>400</v>
      </c>
      <c r="C14" s="118" t="s">
        <v>299</v>
      </c>
      <c r="D14" s="118">
        <v>1.53</v>
      </c>
      <c r="E14" s="12" t="s">
        <v>300</v>
      </c>
      <c r="F14" s="130"/>
      <c r="G14" s="130"/>
      <c r="H14" s="130"/>
      <c r="I14" s="14">
        <v>3</v>
      </c>
      <c r="J14" s="14">
        <v>3</v>
      </c>
      <c r="K14" s="14">
        <v>3</v>
      </c>
      <c r="L14" s="14">
        <v>3</v>
      </c>
      <c r="M14" s="14">
        <v>3</v>
      </c>
    </row>
    <row r="15" spans="1:13" ht="21">
      <c r="A15" s="4"/>
      <c r="B15" s="269"/>
      <c r="C15" s="6"/>
      <c r="D15" s="6"/>
      <c r="E15" s="6" t="s">
        <v>301</v>
      </c>
      <c r="F15" s="8"/>
      <c r="G15" s="8"/>
      <c r="H15" s="8"/>
      <c r="I15" s="134"/>
      <c r="J15" s="134"/>
      <c r="K15" s="134"/>
      <c r="L15" s="134"/>
      <c r="M15" s="134"/>
    </row>
    <row r="16" spans="1:13" ht="21">
      <c r="A16" s="119" t="s">
        <v>401</v>
      </c>
      <c r="B16" s="268" t="s">
        <v>402</v>
      </c>
      <c r="C16" s="120" t="s">
        <v>403</v>
      </c>
      <c r="D16" s="120"/>
      <c r="E16" s="12" t="s">
        <v>300</v>
      </c>
      <c r="F16" s="130"/>
      <c r="G16" s="130"/>
      <c r="H16" s="130"/>
      <c r="I16" s="130"/>
      <c r="J16" s="130"/>
      <c r="K16" s="130"/>
      <c r="L16" s="130"/>
      <c r="M16" s="130"/>
    </row>
    <row r="17" spans="1:13" ht="21">
      <c r="A17" s="18"/>
      <c r="B17" s="278"/>
      <c r="C17" s="20"/>
      <c r="D17" s="20"/>
      <c r="E17" s="20" t="s">
        <v>301</v>
      </c>
      <c r="F17" s="131"/>
      <c r="G17" s="131"/>
      <c r="H17" s="131"/>
      <c r="I17" s="131"/>
      <c r="J17" s="131"/>
      <c r="K17" s="131"/>
      <c r="L17" s="131"/>
      <c r="M17" s="131"/>
    </row>
    <row r="18" spans="1:13" ht="21">
      <c r="A18" s="115" t="s">
        <v>251</v>
      </c>
      <c r="B18" s="116"/>
      <c r="C18" s="117"/>
      <c r="D18" s="117">
        <v>0</v>
      </c>
      <c r="E18" s="117"/>
      <c r="F18" s="117"/>
      <c r="G18" s="117"/>
      <c r="H18" s="117"/>
      <c r="I18" s="117"/>
      <c r="J18" s="117"/>
      <c r="K18" s="117"/>
      <c r="L18" s="117"/>
      <c r="M18" s="117"/>
    </row>
    <row r="19" spans="1:13" ht="21">
      <c r="A19" s="9" t="s">
        <v>258</v>
      </c>
      <c r="B19" s="283" t="s">
        <v>413</v>
      </c>
      <c r="C19" s="118" t="s">
        <v>299</v>
      </c>
      <c r="D19" s="118"/>
      <c r="E19" s="6" t="s">
        <v>300</v>
      </c>
      <c r="F19" s="140"/>
      <c r="G19" s="140"/>
      <c r="H19" s="140"/>
      <c r="I19" s="140"/>
      <c r="J19" s="140"/>
      <c r="K19" s="140"/>
      <c r="L19" s="140"/>
      <c r="M19" s="140"/>
    </row>
    <row r="20" spans="1:13" ht="21">
      <c r="A20" s="18"/>
      <c r="B20" s="278"/>
      <c r="C20" s="20"/>
      <c r="D20" s="20"/>
      <c r="E20" s="20" t="s">
        <v>301</v>
      </c>
      <c r="F20" s="131"/>
      <c r="G20" s="131"/>
      <c r="H20" s="131"/>
      <c r="I20" s="131"/>
      <c r="J20" s="131"/>
      <c r="K20" s="131"/>
      <c r="L20" s="131"/>
      <c r="M20" s="131"/>
    </row>
    <row r="21" spans="1:13" ht="21">
      <c r="A21" s="115" t="s">
        <v>265</v>
      </c>
      <c r="B21" s="116"/>
      <c r="C21" s="117"/>
      <c r="D21" s="117">
        <v>10</v>
      </c>
      <c r="E21" s="117"/>
      <c r="F21" s="117"/>
      <c r="G21" s="117"/>
      <c r="H21" s="117"/>
      <c r="I21" s="117"/>
      <c r="J21" s="117"/>
      <c r="K21" s="117"/>
      <c r="L21" s="117"/>
      <c r="M21" s="117"/>
    </row>
    <row r="22" spans="1:13" ht="21">
      <c r="A22" s="9" t="s">
        <v>266</v>
      </c>
      <c r="B22" s="283" t="s">
        <v>441</v>
      </c>
      <c r="C22" s="118" t="s">
        <v>418</v>
      </c>
      <c r="D22" s="118">
        <v>10</v>
      </c>
      <c r="E22" s="6" t="s">
        <v>300</v>
      </c>
      <c r="F22" s="140"/>
      <c r="G22" s="140"/>
      <c r="H22" s="140"/>
      <c r="I22" s="8">
        <v>1</v>
      </c>
      <c r="J22" s="8">
        <v>1</v>
      </c>
      <c r="K22" s="8">
        <v>1</v>
      </c>
      <c r="L22" s="8">
        <v>1</v>
      </c>
      <c r="M22" s="8">
        <v>1</v>
      </c>
    </row>
    <row r="23" spans="1:13" ht="21">
      <c r="A23" s="18"/>
      <c r="B23" s="278"/>
      <c r="C23" s="20"/>
      <c r="D23" s="20"/>
      <c r="E23" s="20" t="s">
        <v>301</v>
      </c>
      <c r="F23" s="22"/>
      <c r="G23" s="22"/>
      <c r="H23" s="22"/>
      <c r="I23" s="131"/>
      <c r="J23" s="131"/>
      <c r="K23" s="131"/>
      <c r="L23" s="131"/>
      <c r="M23" s="131"/>
    </row>
    <row r="24" ht="21">
      <c r="A24" s="137" t="s">
        <v>448</v>
      </c>
    </row>
    <row r="25" spans="1:2" ht="21">
      <c r="A25" s="139" t="s">
        <v>449</v>
      </c>
      <c r="B25" t="s">
        <v>450</v>
      </c>
    </row>
    <row r="26" spans="1:2" ht="21">
      <c r="A26" s="139" t="s">
        <v>451</v>
      </c>
      <c r="B26" t="s">
        <v>452</v>
      </c>
    </row>
    <row r="27" spans="1:2" ht="21">
      <c r="A27" s="139" t="s">
        <v>453</v>
      </c>
      <c r="B27" t="s">
        <v>454</v>
      </c>
    </row>
    <row r="28" spans="1:2" ht="21">
      <c r="A28" s="139" t="s">
        <v>455</v>
      </c>
      <c r="B28" t="s">
        <v>456</v>
      </c>
    </row>
  </sheetData>
  <mergeCells count="14">
    <mergeCell ref="B22:B23"/>
    <mergeCell ref="B12:B13"/>
    <mergeCell ref="B14:B15"/>
    <mergeCell ref="B16:B17"/>
    <mergeCell ref="B19:B20"/>
    <mergeCell ref="B10:B11"/>
    <mergeCell ref="B5:B6"/>
    <mergeCell ref="A2:B3"/>
    <mergeCell ref="I2:M2"/>
    <mergeCell ref="F2:H2"/>
    <mergeCell ref="C2:C3"/>
    <mergeCell ref="D2:D3"/>
    <mergeCell ref="E2:E3"/>
    <mergeCell ref="B8:B9"/>
  </mergeCells>
  <printOptions/>
  <pageMargins left="0.5905511811023623" right="0.5905511811023623" top="0.7874015748031497" bottom="0.984251968503937" header="0.5118110236220472" footer="0.5118110236220472"/>
  <pageSetup fitToHeight="0" fitToWidth="1" horizontalDpi="600" verticalDpi="600" orientation="landscape" paperSize="9" scale="80" r:id="rId1"/>
  <headerFooter alignWithMargins="0">
    <oddFooter>&amp;L&amp;F&amp;R&amp;A &amp;P/&amp;N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27">
    <tabColor indexed="34"/>
    <pageSetUpPr fitToPage="1"/>
  </sheetPr>
  <dimension ref="A1:M24"/>
  <sheetViews>
    <sheetView zoomScale="90" zoomScaleNormal="90" workbookViewId="0" topLeftCell="A1">
      <pane xSplit="3" ySplit="3" topLeftCell="F4" activePane="bottomRight" state="frozen"/>
      <selection pane="topLeft" activeCell="B14" sqref="B14:B15"/>
      <selection pane="topRight" activeCell="B14" sqref="B14:B15"/>
      <selection pane="bottomLeft" activeCell="B14" sqref="B14:B15"/>
      <selection pane="bottomRight" activeCell="B5" sqref="B5:B6"/>
    </sheetView>
  </sheetViews>
  <sheetFormatPr defaultColWidth="9.33203125" defaultRowHeight="21"/>
  <cols>
    <col min="1" max="1" width="7.33203125" style="137" customWidth="1"/>
    <col min="2" max="2" width="83.83203125" style="0" customWidth="1"/>
    <col min="3" max="5" width="10.33203125" style="138" customWidth="1"/>
    <col min="6" max="8" width="10.16015625" style="54" bestFit="1" customWidth="1"/>
    <col min="9" max="13" width="9.33203125" style="54" customWidth="1"/>
  </cols>
  <sheetData>
    <row r="1" spans="1:13" ht="23.25">
      <c r="A1" s="112" t="s">
        <v>515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</row>
    <row r="2" spans="1:13" ht="25.5" customHeight="1">
      <c r="A2" s="274" t="s">
        <v>294</v>
      </c>
      <c r="B2" s="275"/>
      <c r="C2" s="272" t="s">
        <v>295</v>
      </c>
      <c r="D2" s="272" t="s">
        <v>296</v>
      </c>
      <c r="E2" s="272" t="s">
        <v>297</v>
      </c>
      <c r="F2" s="271" t="s">
        <v>3</v>
      </c>
      <c r="G2" s="271"/>
      <c r="H2" s="271"/>
      <c r="I2" s="271" t="s">
        <v>4</v>
      </c>
      <c r="J2" s="271"/>
      <c r="K2" s="271"/>
      <c r="L2" s="271"/>
      <c r="M2" s="271"/>
    </row>
    <row r="3" spans="1:13" ht="25.5" customHeight="1">
      <c r="A3" s="276"/>
      <c r="B3" s="277"/>
      <c r="C3" s="273"/>
      <c r="D3" s="273"/>
      <c r="E3" s="273"/>
      <c r="F3" s="114">
        <v>2547</v>
      </c>
      <c r="G3" s="114">
        <v>2548</v>
      </c>
      <c r="H3" s="114">
        <v>2549</v>
      </c>
      <c r="I3" s="114">
        <v>2550</v>
      </c>
      <c r="J3" s="114">
        <v>2551</v>
      </c>
      <c r="K3" s="114">
        <v>2552</v>
      </c>
      <c r="L3" s="114">
        <v>2553</v>
      </c>
      <c r="M3" s="114">
        <v>2554</v>
      </c>
    </row>
    <row r="4" spans="1:13" ht="21">
      <c r="A4" s="115" t="s">
        <v>5</v>
      </c>
      <c r="B4" s="116"/>
      <c r="C4" s="117"/>
      <c r="D4" s="117">
        <v>6.67</v>
      </c>
      <c r="E4" s="117"/>
      <c r="F4" s="117"/>
      <c r="G4" s="117"/>
      <c r="H4" s="117"/>
      <c r="I4" s="117"/>
      <c r="J4" s="117"/>
      <c r="K4" s="117"/>
      <c r="L4" s="117"/>
      <c r="M4" s="117"/>
    </row>
    <row r="5" spans="1:13" ht="21">
      <c r="A5" s="9" t="s">
        <v>9</v>
      </c>
      <c r="B5" s="283" t="s">
        <v>458</v>
      </c>
      <c r="C5" s="118" t="s">
        <v>303</v>
      </c>
      <c r="D5" s="118">
        <v>6.67</v>
      </c>
      <c r="E5" s="6" t="s">
        <v>300</v>
      </c>
      <c r="F5" s="140"/>
      <c r="G5" s="140"/>
      <c r="H5" s="140"/>
      <c r="I5" s="8">
        <v>80</v>
      </c>
      <c r="J5" s="8">
        <v>80</v>
      </c>
      <c r="K5" s="8">
        <v>80</v>
      </c>
      <c r="L5" s="8">
        <v>80</v>
      </c>
      <c r="M5" s="8">
        <v>80</v>
      </c>
    </row>
    <row r="6" spans="1:13" ht="21">
      <c r="A6" s="18"/>
      <c r="B6" s="278"/>
      <c r="C6" s="20"/>
      <c r="D6" s="20"/>
      <c r="E6" s="20" t="s">
        <v>301</v>
      </c>
      <c r="F6" s="22"/>
      <c r="G6" s="22"/>
      <c r="H6" s="22"/>
      <c r="I6" s="131"/>
      <c r="J6" s="131"/>
      <c r="K6" s="131"/>
      <c r="L6" s="131"/>
      <c r="M6" s="131"/>
    </row>
    <row r="7" spans="1:13" ht="21">
      <c r="A7" s="115" t="s">
        <v>31</v>
      </c>
      <c r="B7" s="116"/>
      <c r="C7" s="117"/>
      <c r="D7" s="117">
        <v>8.33</v>
      </c>
      <c r="E7" s="117"/>
      <c r="F7" s="117"/>
      <c r="G7" s="117"/>
      <c r="H7" s="117"/>
      <c r="I7" s="117"/>
      <c r="J7" s="117"/>
      <c r="K7" s="117"/>
      <c r="L7" s="117"/>
      <c r="M7" s="117"/>
    </row>
    <row r="8" spans="1:13" ht="21">
      <c r="A8" s="122" t="s">
        <v>305</v>
      </c>
      <c r="B8" s="123"/>
      <c r="C8" s="124"/>
      <c r="D8" s="124">
        <v>8.33</v>
      </c>
      <c r="E8" s="124"/>
      <c r="F8" s="124"/>
      <c r="G8" s="124"/>
      <c r="H8" s="124"/>
      <c r="I8" s="124"/>
      <c r="J8" s="124"/>
      <c r="K8" s="124"/>
      <c r="L8" s="124"/>
      <c r="M8" s="124"/>
    </row>
    <row r="9" spans="1:13" ht="21">
      <c r="A9" s="9" t="s">
        <v>32</v>
      </c>
      <c r="B9" s="270" t="s">
        <v>459</v>
      </c>
      <c r="C9" s="118" t="s">
        <v>315</v>
      </c>
      <c r="D9" s="118">
        <v>1.66</v>
      </c>
      <c r="E9" s="6" t="s">
        <v>300</v>
      </c>
      <c r="F9" s="140"/>
      <c r="G9" s="140"/>
      <c r="H9" s="140"/>
      <c r="I9" s="8">
        <v>7</v>
      </c>
      <c r="J9" s="8">
        <v>7</v>
      </c>
      <c r="K9" s="8">
        <v>7</v>
      </c>
      <c r="L9" s="8">
        <v>7</v>
      </c>
      <c r="M9" s="8">
        <v>7</v>
      </c>
    </row>
    <row r="10" spans="1:13" ht="21">
      <c r="A10" s="4"/>
      <c r="B10" s="269"/>
      <c r="C10" s="6"/>
      <c r="D10" s="6"/>
      <c r="E10" s="6" t="s">
        <v>301</v>
      </c>
      <c r="F10" s="8"/>
      <c r="G10" s="8"/>
      <c r="H10" s="8"/>
      <c r="I10" s="134"/>
      <c r="J10" s="248"/>
      <c r="K10" s="248"/>
      <c r="L10" s="248"/>
      <c r="M10" s="248"/>
    </row>
    <row r="11" spans="1:13" ht="21">
      <c r="A11" s="9" t="s">
        <v>36</v>
      </c>
      <c r="B11" s="268" t="s">
        <v>460</v>
      </c>
      <c r="C11" s="118" t="s">
        <v>315</v>
      </c>
      <c r="D11" s="118">
        <v>1.66</v>
      </c>
      <c r="E11" s="12" t="s">
        <v>300</v>
      </c>
      <c r="F11" s="130"/>
      <c r="G11" s="130"/>
      <c r="H11" s="130"/>
      <c r="I11" s="14">
        <v>7</v>
      </c>
      <c r="J11" s="14">
        <v>7</v>
      </c>
      <c r="K11" s="14">
        <v>7</v>
      </c>
      <c r="L11" s="14">
        <v>7</v>
      </c>
      <c r="M11" s="14">
        <v>7</v>
      </c>
    </row>
    <row r="12" spans="1:13" ht="21">
      <c r="A12" s="4"/>
      <c r="B12" s="269"/>
      <c r="C12" s="6"/>
      <c r="D12" s="6"/>
      <c r="E12" s="6" t="s">
        <v>301</v>
      </c>
      <c r="F12" s="8"/>
      <c r="G12" s="8"/>
      <c r="H12" s="8"/>
      <c r="I12" s="134"/>
      <c r="J12" s="134"/>
      <c r="K12" s="134"/>
      <c r="L12" s="134"/>
      <c r="M12" s="134"/>
    </row>
    <row r="13" spans="1:13" ht="21">
      <c r="A13" s="9" t="s">
        <v>96</v>
      </c>
      <c r="B13" s="268" t="s">
        <v>465</v>
      </c>
      <c r="C13" s="118" t="s">
        <v>303</v>
      </c>
      <c r="D13" s="118">
        <v>1.67</v>
      </c>
      <c r="E13" s="12" t="s">
        <v>300</v>
      </c>
      <c r="F13" s="130"/>
      <c r="G13" s="130"/>
      <c r="H13" s="130"/>
      <c r="I13" s="102">
        <v>0</v>
      </c>
      <c r="J13" s="14">
        <v>100</v>
      </c>
      <c r="K13" s="14">
        <v>100</v>
      </c>
      <c r="L13" s="14">
        <v>100</v>
      </c>
      <c r="M13" s="14">
        <v>100</v>
      </c>
    </row>
    <row r="14" spans="1:13" ht="21">
      <c r="A14" s="4"/>
      <c r="B14" s="269"/>
      <c r="C14" s="6"/>
      <c r="D14" s="6"/>
      <c r="E14" s="6" t="s">
        <v>301</v>
      </c>
      <c r="F14" s="8"/>
      <c r="G14" s="8"/>
      <c r="H14" s="8">
        <v>100</v>
      </c>
      <c r="I14" s="134"/>
      <c r="J14" s="134"/>
      <c r="K14" s="134"/>
      <c r="L14" s="134"/>
      <c r="M14" s="134"/>
    </row>
    <row r="15" spans="1:13" ht="21">
      <c r="A15" s="119" t="s">
        <v>121</v>
      </c>
      <c r="B15" s="268" t="s">
        <v>504</v>
      </c>
      <c r="C15" s="120" t="s">
        <v>303</v>
      </c>
      <c r="D15" s="120">
        <v>3.34</v>
      </c>
      <c r="E15" s="12" t="s">
        <v>300</v>
      </c>
      <c r="F15" s="130"/>
      <c r="G15" s="130"/>
      <c r="H15" s="130"/>
      <c r="I15" s="102">
        <v>10</v>
      </c>
      <c r="J15" s="102">
        <v>10</v>
      </c>
      <c r="K15" s="102">
        <v>15</v>
      </c>
      <c r="L15" s="102">
        <v>20</v>
      </c>
      <c r="M15" s="14">
        <v>25</v>
      </c>
    </row>
    <row r="16" spans="1:13" ht="21">
      <c r="A16" s="18"/>
      <c r="B16" s="278"/>
      <c r="C16" s="20"/>
      <c r="D16" s="20"/>
      <c r="E16" s="20" t="s">
        <v>301</v>
      </c>
      <c r="F16" s="22"/>
      <c r="G16" s="22"/>
      <c r="H16" s="22"/>
      <c r="I16" s="131"/>
      <c r="J16" s="131"/>
      <c r="K16" s="131"/>
      <c r="L16" s="131"/>
      <c r="M16" s="131"/>
    </row>
    <row r="17" spans="1:13" ht="21">
      <c r="A17" s="115" t="s">
        <v>251</v>
      </c>
      <c r="B17" s="116"/>
      <c r="C17" s="117"/>
      <c r="D17" s="117">
        <v>0</v>
      </c>
      <c r="E17" s="117"/>
      <c r="F17" s="117"/>
      <c r="G17" s="117"/>
      <c r="H17" s="117"/>
      <c r="I17" s="117"/>
      <c r="J17" s="117"/>
      <c r="K17" s="117"/>
      <c r="L17" s="117"/>
      <c r="M17" s="117"/>
    </row>
    <row r="18" spans="1:13" ht="21">
      <c r="A18" s="9" t="s">
        <v>258</v>
      </c>
      <c r="B18" s="283" t="s">
        <v>501</v>
      </c>
      <c r="C18" s="118" t="s">
        <v>299</v>
      </c>
      <c r="D18" s="118"/>
      <c r="E18" s="6" t="s">
        <v>300</v>
      </c>
      <c r="F18" s="140"/>
      <c r="G18" s="140"/>
      <c r="H18" s="140"/>
      <c r="I18" s="140"/>
      <c r="J18" s="140"/>
      <c r="K18" s="140"/>
      <c r="L18" s="140"/>
      <c r="M18" s="140"/>
    </row>
    <row r="19" spans="1:13" ht="21">
      <c r="A19" s="18"/>
      <c r="B19" s="278"/>
      <c r="C19" s="20"/>
      <c r="D19" s="20"/>
      <c r="E19" s="20" t="s">
        <v>301</v>
      </c>
      <c r="F19" s="131"/>
      <c r="G19" s="131"/>
      <c r="H19" s="131"/>
      <c r="I19" s="131"/>
      <c r="J19" s="131"/>
      <c r="K19" s="131"/>
      <c r="L19" s="131"/>
      <c r="M19" s="131"/>
    </row>
    <row r="20" ht="21">
      <c r="A20" s="137" t="s">
        <v>448</v>
      </c>
    </row>
    <row r="21" spans="1:2" ht="21">
      <c r="A21" s="139" t="s">
        <v>449</v>
      </c>
      <c r="B21" t="s">
        <v>450</v>
      </c>
    </row>
    <row r="22" spans="1:2" ht="21">
      <c r="A22" s="139" t="s">
        <v>451</v>
      </c>
      <c r="B22" t="s">
        <v>452</v>
      </c>
    </row>
    <row r="23" spans="1:2" ht="21">
      <c r="A23" s="139" t="s">
        <v>453</v>
      </c>
      <c r="B23" t="s">
        <v>454</v>
      </c>
    </row>
    <row r="24" spans="1:2" ht="21">
      <c r="A24" s="139" t="s">
        <v>455</v>
      </c>
      <c r="B24" t="s">
        <v>456</v>
      </c>
    </row>
  </sheetData>
  <mergeCells count="12">
    <mergeCell ref="B13:B14"/>
    <mergeCell ref="B15:B16"/>
    <mergeCell ref="B18:B19"/>
    <mergeCell ref="B5:B6"/>
    <mergeCell ref="B9:B10"/>
    <mergeCell ref="B11:B12"/>
    <mergeCell ref="A2:B3"/>
    <mergeCell ref="I2:M2"/>
    <mergeCell ref="F2:H2"/>
    <mergeCell ref="C2:C3"/>
    <mergeCell ref="D2:D3"/>
    <mergeCell ref="E2:E3"/>
  </mergeCells>
  <printOptions/>
  <pageMargins left="0.5905511811023623" right="0.5905511811023623" top="0.7874015748031497" bottom="0.984251968503937" header="0.5118110236220472" footer="0.5118110236220472"/>
  <pageSetup fitToHeight="0" fitToWidth="1" horizontalDpi="600" verticalDpi="600" orientation="landscape" paperSize="9" scale="80" r:id="rId1"/>
  <headerFooter alignWithMargins="0">
    <oddFooter>&amp;L&amp;F&amp;R&amp;A 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1:L453"/>
  <sheetViews>
    <sheetView tabSelected="1" view="pageBreakPreview" zoomScale="90" zoomScaleSheetLayoutView="9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B391" sqref="B391"/>
    </sheetView>
  </sheetViews>
  <sheetFormatPr defaultColWidth="9.33203125" defaultRowHeight="21"/>
  <cols>
    <col min="1" max="1" width="6.83203125" style="68" customWidth="1"/>
    <col min="2" max="2" width="55.83203125" style="69" customWidth="1"/>
    <col min="3" max="3" width="8.83203125" style="70" customWidth="1"/>
    <col min="4" max="4" width="11.33203125" style="71" customWidth="1"/>
    <col min="5" max="5" width="12.33203125" style="71" customWidth="1"/>
    <col min="6" max="11" width="11.33203125" style="71" customWidth="1"/>
    <col min="12" max="12" width="9.33203125" style="67" customWidth="1"/>
    <col min="13" max="16384" width="9.33203125" style="65" customWidth="1"/>
  </cols>
  <sheetData>
    <row r="1" spans="1:11" ht="23.25">
      <c r="A1" s="63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</row>
    <row r="2" spans="1:11" ht="21">
      <c r="A2" s="264" t="s">
        <v>1</v>
      </c>
      <c r="B2" s="265"/>
      <c r="C2" s="262" t="s">
        <v>2</v>
      </c>
      <c r="D2" s="261" t="s">
        <v>3</v>
      </c>
      <c r="E2" s="261"/>
      <c r="F2" s="261"/>
      <c r="G2" s="261" t="s">
        <v>4</v>
      </c>
      <c r="H2" s="261"/>
      <c r="I2" s="261"/>
      <c r="J2" s="261"/>
      <c r="K2" s="261"/>
    </row>
    <row r="3" spans="1:11" ht="21">
      <c r="A3" s="266"/>
      <c r="B3" s="267"/>
      <c r="C3" s="263"/>
      <c r="D3" s="66">
        <v>2547</v>
      </c>
      <c r="E3" s="66">
        <v>2548</v>
      </c>
      <c r="F3" s="66">
        <v>2549</v>
      </c>
      <c r="G3" s="66">
        <v>2550</v>
      </c>
      <c r="H3" s="66">
        <v>2551</v>
      </c>
      <c r="I3" s="66">
        <v>2552</v>
      </c>
      <c r="J3" s="66">
        <v>2553</v>
      </c>
      <c r="K3" s="66">
        <v>2554</v>
      </c>
    </row>
    <row r="4" spans="1:11" ht="21">
      <c r="A4" s="72" t="s">
        <v>5</v>
      </c>
      <c r="B4" s="73"/>
      <c r="C4" s="74"/>
      <c r="D4" s="75"/>
      <c r="E4" s="2"/>
      <c r="F4" s="2"/>
      <c r="G4" s="3"/>
      <c r="H4" s="76"/>
      <c r="I4" s="76"/>
      <c r="J4" s="76"/>
      <c r="K4" s="76"/>
    </row>
    <row r="5" spans="1:11" ht="21" customHeight="1">
      <c r="A5" s="77" t="s">
        <v>6</v>
      </c>
      <c r="B5" s="253" t="s">
        <v>7</v>
      </c>
      <c r="C5" s="254"/>
      <c r="D5" s="254"/>
      <c r="E5" s="254"/>
      <c r="F5" s="254"/>
      <c r="G5" s="254"/>
      <c r="H5" s="254"/>
      <c r="I5" s="254"/>
      <c r="J5" s="254"/>
      <c r="K5" s="254"/>
    </row>
    <row r="6" spans="1:11" ht="21">
      <c r="A6" s="4"/>
      <c r="B6" s="5" t="s">
        <v>8</v>
      </c>
      <c r="C6" s="6">
        <v>6.66</v>
      </c>
      <c r="D6" s="7"/>
      <c r="E6" s="7"/>
      <c r="F6" s="7"/>
      <c r="G6" s="8">
        <v>7</v>
      </c>
      <c r="H6" s="78">
        <v>7</v>
      </c>
      <c r="I6" s="78">
        <v>7</v>
      </c>
      <c r="J6" s="78">
        <v>7</v>
      </c>
      <c r="K6" s="78">
        <v>7</v>
      </c>
    </row>
    <row r="7" spans="1:11" ht="21" customHeight="1">
      <c r="A7" s="77" t="s">
        <v>9</v>
      </c>
      <c r="B7" s="253" t="s">
        <v>10</v>
      </c>
      <c r="C7" s="254"/>
      <c r="D7" s="254"/>
      <c r="E7" s="254"/>
      <c r="F7" s="254"/>
      <c r="G7" s="254"/>
      <c r="H7" s="254"/>
      <c r="I7" s="254"/>
      <c r="J7" s="254"/>
      <c r="K7" s="254"/>
    </row>
    <row r="8" spans="1:11" ht="21">
      <c r="A8" s="9"/>
      <c r="B8" s="5" t="s">
        <v>8</v>
      </c>
      <c r="C8" s="6">
        <v>6.67</v>
      </c>
      <c r="D8" s="226">
        <v>100</v>
      </c>
      <c r="E8" s="226">
        <v>95.45</v>
      </c>
      <c r="F8" s="10">
        <v>95.55</v>
      </c>
      <c r="G8" s="8">
        <v>85</v>
      </c>
      <c r="H8" s="8">
        <v>85</v>
      </c>
      <c r="I8" s="8">
        <v>85</v>
      </c>
      <c r="J8" s="8">
        <v>85</v>
      </c>
      <c r="K8" s="8">
        <v>85</v>
      </c>
    </row>
    <row r="9" spans="1:11" ht="21">
      <c r="A9" s="9"/>
      <c r="B9" s="11" t="s">
        <v>11</v>
      </c>
      <c r="C9" s="12">
        <v>6.67</v>
      </c>
      <c r="D9" s="13"/>
      <c r="E9" s="13"/>
      <c r="F9" s="13"/>
      <c r="G9" s="14">
        <v>85</v>
      </c>
      <c r="H9" s="79">
        <v>85</v>
      </c>
      <c r="I9" s="79">
        <v>85</v>
      </c>
      <c r="J9" s="79">
        <v>85</v>
      </c>
      <c r="K9" s="80" t="s">
        <v>12</v>
      </c>
    </row>
    <row r="10" spans="1:11" ht="21">
      <c r="A10" s="9"/>
      <c r="B10" s="11" t="s">
        <v>13</v>
      </c>
      <c r="C10" s="12">
        <v>6.67</v>
      </c>
      <c r="D10" s="13"/>
      <c r="E10" s="13"/>
      <c r="F10" s="13"/>
      <c r="G10" s="14">
        <v>90</v>
      </c>
      <c r="H10" s="79">
        <v>90</v>
      </c>
      <c r="I10" s="79">
        <v>90</v>
      </c>
      <c r="J10" s="79">
        <v>90</v>
      </c>
      <c r="K10" s="80" t="s">
        <v>14</v>
      </c>
    </row>
    <row r="11" spans="1:11" ht="21.75" customHeight="1">
      <c r="A11" s="9"/>
      <c r="B11" s="11" t="s">
        <v>15</v>
      </c>
      <c r="C11" s="12">
        <v>6.67</v>
      </c>
      <c r="D11" s="13"/>
      <c r="E11" s="13"/>
      <c r="F11" s="13"/>
      <c r="G11" s="14">
        <v>80</v>
      </c>
      <c r="H11" s="79">
        <v>80</v>
      </c>
      <c r="I11" s="79">
        <v>80</v>
      </c>
      <c r="J11" s="79">
        <v>80</v>
      </c>
      <c r="K11" s="79">
        <v>80</v>
      </c>
    </row>
    <row r="12" spans="1:11" ht="21">
      <c r="A12" s="9"/>
      <c r="B12" s="11" t="s">
        <v>16</v>
      </c>
      <c r="C12" s="12">
        <v>6.67</v>
      </c>
      <c r="D12" s="13"/>
      <c r="E12" s="13"/>
      <c r="F12" s="13"/>
      <c r="G12" s="14">
        <v>80</v>
      </c>
      <c r="H12" s="14">
        <v>80</v>
      </c>
      <c r="I12" s="14">
        <v>80</v>
      </c>
      <c r="J12" s="14">
        <v>80</v>
      </c>
      <c r="K12" s="15" t="s">
        <v>120</v>
      </c>
    </row>
    <row r="13" spans="1:11" ht="21">
      <c r="A13" s="9"/>
      <c r="B13" s="11" t="s">
        <v>17</v>
      </c>
      <c r="C13" s="12">
        <v>6.67</v>
      </c>
      <c r="D13" s="13"/>
      <c r="E13" s="13"/>
      <c r="F13" s="16">
        <v>95</v>
      </c>
      <c r="G13" s="14">
        <v>85</v>
      </c>
      <c r="H13" s="79">
        <v>85</v>
      </c>
      <c r="I13" s="79">
        <v>85</v>
      </c>
      <c r="J13" s="79">
        <v>85</v>
      </c>
      <c r="K13" s="80" t="s">
        <v>12</v>
      </c>
    </row>
    <row r="14" spans="1:11" ht="21">
      <c r="A14" s="9"/>
      <c r="B14" s="11" t="s">
        <v>18</v>
      </c>
      <c r="C14" s="12">
        <v>6.67</v>
      </c>
      <c r="D14" s="13"/>
      <c r="E14" s="13"/>
      <c r="F14" s="13"/>
      <c r="G14" s="14">
        <v>85</v>
      </c>
      <c r="H14" s="79">
        <v>85</v>
      </c>
      <c r="I14" s="79">
        <v>85</v>
      </c>
      <c r="J14" s="79">
        <v>85</v>
      </c>
      <c r="K14" s="80" t="s">
        <v>12</v>
      </c>
    </row>
    <row r="15" spans="1:11" ht="21">
      <c r="A15" s="9"/>
      <c r="B15" s="11" t="s">
        <v>35</v>
      </c>
      <c r="C15" s="12">
        <v>6.67</v>
      </c>
      <c r="D15" s="13"/>
      <c r="E15" s="13"/>
      <c r="F15" s="13"/>
      <c r="G15" s="14">
        <v>90</v>
      </c>
      <c r="H15" s="79">
        <v>90</v>
      </c>
      <c r="I15" s="79">
        <v>90</v>
      </c>
      <c r="J15" s="79">
        <v>90</v>
      </c>
      <c r="K15" s="79">
        <v>90</v>
      </c>
    </row>
    <row r="16" spans="1:11" s="212" customFormat="1" ht="21">
      <c r="A16" s="180"/>
      <c r="B16" s="181" t="s">
        <v>19</v>
      </c>
      <c r="C16" s="182">
        <v>6.67</v>
      </c>
      <c r="D16" s="183"/>
      <c r="E16" s="183"/>
      <c r="F16" s="183"/>
      <c r="G16" s="211">
        <v>80</v>
      </c>
      <c r="H16" s="211">
        <v>80</v>
      </c>
      <c r="I16" s="211">
        <v>80</v>
      </c>
      <c r="J16" s="211">
        <v>80</v>
      </c>
      <c r="K16" s="211">
        <v>80</v>
      </c>
    </row>
    <row r="17" spans="1:11" ht="21">
      <c r="A17" s="9"/>
      <c r="B17" s="11" t="s">
        <v>20</v>
      </c>
      <c r="C17" s="12">
        <v>6.67</v>
      </c>
      <c r="D17" s="16" t="s">
        <v>21</v>
      </c>
      <c r="E17" s="16" t="s">
        <v>21</v>
      </c>
      <c r="F17" s="16" t="s">
        <v>21</v>
      </c>
      <c r="G17" s="14">
        <v>80</v>
      </c>
      <c r="H17" s="79">
        <v>80</v>
      </c>
      <c r="I17" s="79">
        <v>80</v>
      </c>
      <c r="J17" s="79">
        <v>80</v>
      </c>
      <c r="K17" s="79">
        <v>80</v>
      </c>
    </row>
    <row r="18" spans="1:11" ht="21">
      <c r="A18" s="9"/>
      <c r="B18" s="11" t="s">
        <v>22</v>
      </c>
      <c r="C18" s="12">
        <v>6.67</v>
      </c>
      <c r="D18" s="13"/>
      <c r="E18" s="13"/>
      <c r="F18" s="13"/>
      <c r="G18" s="102">
        <v>80</v>
      </c>
      <c r="H18" s="102">
        <v>80</v>
      </c>
      <c r="I18" s="102">
        <v>80</v>
      </c>
      <c r="J18" s="102">
        <v>80</v>
      </c>
      <c r="K18" s="102">
        <v>80</v>
      </c>
    </row>
    <row r="19" spans="1:11" ht="21">
      <c r="A19" s="9"/>
      <c r="B19" s="11" t="s">
        <v>23</v>
      </c>
      <c r="C19" s="12">
        <v>6.67</v>
      </c>
      <c r="D19" s="13"/>
      <c r="E19" s="13"/>
      <c r="F19" s="13"/>
      <c r="G19" s="14" t="s">
        <v>21</v>
      </c>
      <c r="H19" s="109">
        <v>80</v>
      </c>
      <c r="I19" s="109">
        <v>80</v>
      </c>
      <c r="J19" s="109">
        <v>80</v>
      </c>
      <c r="K19" s="109">
        <v>80</v>
      </c>
    </row>
    <row r="20" spans="1:11" ht="21">
      <c r="A20" s="9"/>
      <c r="B20" s="11" t="s">
        <v>24</v>
      </c>
      <c r="C20" s="12">
        <v>6.67</v>
      </c>
      <c r="D20" s="13"/>
      <c r="E20" s="13"/>
      <c r="F20" s="13"/>
      <c r="G20" s="14">
        <v>80</v>
      </c>
      <c r="H20" s="79">
        <v>80</v>
      </c>
      <c r="I20" s="79">
        <v>80</v>
      </c>
      <c r="J20" s="79">
        <v>80</v>
      </c>
      <c r="K20" s="79">
        <v>80</v>
      </c>
    </row>
    <row r="21" spans="1:11" ht="21">
      <c r="A21" s="9"/>
      <c r="B21" s="11" t="s">
        <v>25</v>
      </c>
      <c r="C21" s="12">
        <v>6.67</v>
      </c>
      <c r="D21" s="16" t="s">
        <v>26</v>
      </c>
      <c r="E21" s="16" t="s">
        <v>26</v>
      </c>
      <c r="F21" s="16" t="s">
        <v>26</v>
      </c>
      <c r="G21" s="14">
        <v>80</v>
      </c>
      <c r="H21" s="79">
        <v>80</v>
      </c>
      <c r="I21" s="79">
        <v>80</v>
      </c>
      <c r="J21" s="79">
        <v>80</v>
      </c>
      <c r="K21" s="79">
        <v>80</v>
      </c>
    </row>
    <row r="22" spans="1:11" ht="21">
      <c r="A22" s="9"/>
      <c r="B22" s="11" t="s">
        <v>27</v>
      </c>
      <c r="C22" s="12">
        <v>6.67</v>
      </c>
      <c r="D22" s="13"/>
      <c r="E22" s="13"/>
      <c r="F22" s="13"/>
      <c r="G22" s="14">
        <v>80</v>
      </c>
      <c r="H22" s="79">
        <v>80</v>
      </c>
      <c r="I22" s="79">
        <v>80</v>
      </c>
      <c r="J22" s="79">
        <v>80</v>
      </c>
      <c r="K22" s="79">
        <v>80</v>
      </c>
    </row>
    <row r="23" spans="1:11" ht="21">
      <c r="A23" s="4"/>
      <c r="B23" s="17" t="s">
        <v>28</v>
      </c>
      <c r="C23" s="6">
        <v>6.67</v>
      </c>
      <c r="D23" s="7"/>
      <c r="E23" s="7"/>
      <c r="F23" s="7"/>
      <c r="G23" s="8">
        <v>80</v>
      </c>
      <c r="H23" s="78">
        <v>80</v>
      </c>
      <c r="I23" s="78">
        <v>80</v>
      </c>
      <c r="J23" s="78">
        <v>80</v>
      </c>
      <c r="K23" s="78">
        <v>80</v>
      </c>
    </row>
    <row r="24" spans="1:11" ht="21" customHeight="1">
      <c r="A24" s="77" t="s">
        <v>29</v>
      </c>
      <c r="B24" s="253" t="s">
        <v>30</v>
      </c>
      <c r="C24" s="254"/>
      <c r="D24" s="254"/>
      <c r="E24" s="254"/>
      <c r="F24" s="254"/>
      <c r="G24" s="254"/>
      <c r="H24" s="254"/>
      <c r="I24" s="254"/>
      <c r="J24" s="254"/>
      <c r="K24" s="254"/>
    </row>
    <row r="25" spans="1:11" ht="21">
      <c r="A25" s="18"/>
      <c r="B25" s="19" t="s">
        <v>8</v>
      </c>
      <c r="C25" s="20">
        <v>6.67</v>
      </c>
      <c r="D25" s="21">
        <v>5</v>
      </c>
      <c r="E25" s="21">
        <v>5</v>
      </c>
      <c r="F25" s="21">
        <v>5</v>
      </c>
      <c r="G25" s="22">
        <v>5</v>
      </c>
      <c r="H25" s="81">
        <v>5</v>
      </c>
      <c r="I25" s="81">
        <v>5</v>
      </c>
      <c r="J25" s="81">
        <v>5</v>
      </c>
      <c r="K25" s="81">
        <v>5</v>
      </c>
    </row>
    <row r="26" spans="1:11" ht="21">
      <c r="A26" s="82" t="s">
        <v>31</v>
      </c>
      <c r="B26" s="73"/>
      <c r="C26" s="74"/>
      <c r="D26" s="74"/>
      <c r="E26" s="23"/>
      <c r="F26" s="23"/>
      <c r="G26" s="23"/>
      <c r="H26" s="83"/>
      <c r="I26" s="83"/>
      <c r="J26" s="83"/>
      <c r="K26" s="83"/>
    </row>
    <row r="27" spans="1:11" ht="21" customHeight="1">
      <c r="A27" s="77" t="s">
        <v>32</v>
      </c>
      <c r="B27" s="253" t="s">
        <v>33</v>
      </c>
      <c r="C27" s="254"/>
      <c r="D27" s="254"/>
      <c r="E27" s="254"/>
      <c r="F27" s="254"/>
      <c r="G27" s="254"/>
      <c r="H27" s="254"/>
      <c r="I27" s="254"/>
      <c r="J27" s="254"/>
      <c r="K27" s="254"/>
    </row>
    <row r="28" spans="1:11" ht="21">
      <c r="A28" s="9"/>
      <c r="B28" s="5" t="s">
        <v>8</v>
      </c>
      <c r="C28" s="6">
        <v>1.66</v>
      </c>
      <c r="D28" s="7"/>
      <c r="E28" s="7"/>
      <c r="F28" s="7"/>
      <c r="G28" s="8">
        <v>7</v>
      </c>
      <c r="H28" s="78">
        <v>7</v>
      </c>
      <c r="I28" s="78">
        <v>7</v>
      </c>
      <c r="J28" s="78">
        <v>7</v>
      </c>
      <c r="K28" s="84" t="s">
        <v>34</v>
      </c>
    </row>
    <row r="29" spans="1:11" s="212" customFormat="1" ht="21">
      <c r="A29" s="180"/>
      <c r="B29" s="181" t="s">
        <v>11</v>
      </c>
      <c r="C29" s="182">
        <v>1.66</v>
      </c>
      <c r="D29" s="183"/>
      <c r="E29" s="183"/>
      <c r="F29" s="183"/>
      <c r="G29" s="211">
        <v>6</v>
      </c>
      <c r="H29" s="211">
        <v>6</v>
      </c>
      <c r="I29" s="211">
        <v>6</v>
      </c>
      <c r="J29" s="211">
        <v>6</v>
      </c>
      <c r="K29" s="211">
        <v>6</v>
      </c>
    </row>
    <row r="30" spans="1:11" ht="21">
      <c r="A30" s="9"/>
      <c r="B30" s="11" t="s">
        <v>13</v>
      </c>
      <c r="C30" s="12">
        <v>1.66</v>
      </c>
      <c r="D30" s="13"/>
      <c r="E30" s="13"/>
      <c r="F30" s="13"/>
      <c r="G30" s="14">
        <v>6</v>
      </c>
      <c r="H30" s="14">
        <v>6</v>
      </c>
      <c r="I30" s="14">
        <v>6</v>
      </c>
      <c r="J30" s="14">
        <v>6</v>
      </c>
      <c r="K30" s="14">
        <v>6</v>
      </c>
    </row>
    <row r="31" spans="1:11" ht="21">
      <c r="A31" s="9"/>
      <c r="B31" s="11" t="s">
        <v>15</v>
      </c>
      <c r="C31" s="12">
        <v>1.66</v>
      </c>
      <c r="D31" s="13"/>
      <c r="E31" s="13"/>
      <c r="F31" s="13"/>
      <c r="G31" s="14">
        <v>6</v>
      </c>
      <c r="H31" s="14">
        <v>6</v>
      </c>
      <c r="I31" s="14">
        <v>6</v>
      </c>
      <c r="J31" s="14">
        <v>6</v>
      </c>
      <c r="K31" s="14">
        <v>6</v>
      </c>
    </row>
    <row r="32" spans="1:11" ht="21">
      <c r="A32" s="9"/>
      <c r="B32" s="11" t="s">
        <v>16</v>
      </c>
      <c r="C32" s="12">
        <v>1.66</v>
      </c>
      <c r="D32" s="13"/>
      <c r="E32" s="13"/>
      <c r="F32" s="13"/>
      <c r="G32" s="14">
        <v>6</v>
      </c>
      <c r="H32" s="79">
        <v>6</v>
      </c>
      <c r="I32" s="79">
        <v>6</v>
      </c>
      <c r="J32" s="79">
        <v>7</v>
      </c>
      <c r="K32" s="79">
        <v>7</v>
      </c>
    </row>
    <row r="33" spans="1:11" s="212" customFormat="1" ht="21">
      <c r="A33" s="180"/>
      <c r="B33" s="181" t="s">
        <v>17</v>
      </c>
      <c r="C33" s="182">
        <v>1.66</v>
      </c>
      <c r="D33" s="183"/>
      <c r="E33" s="183"/>
      <c r="F33" s="183"/>
      <c r="G33" s="211">
        <v>6</v>
      </c>
      <c r="H33" s="211">
        <v>6</v>
      </c>
      <c r="I33" s="211">
        <v>6</v>
      </c>
      <c r="J33" s="211">
        <v>6</v>
      </c>
      <c r="K33" s="211">
        <v>6</v>
      </c>
    </row>
    <row r="34" spans="1:11" ht="21">
      <c r="A34" s="9"/>
      <c r="B34" s="11" t="s">
        <v>18</v>
      </c>
      <c r="C34" s="12">
        <v>1.66</v>
      </c>
      <c r="D34" s="13"/>
      <c r="E34" s="13"/>
      <c r="F34" s="13"/>
      <c r="G34" s="14">
        <v>7</v>
      </c>
      <c r="H34" s="79">
        <v>7</v>
      </c>
      <c r="I34" s="79">
        <v>7</v>
      </c>
      <c r="J34" s="79">
        <v>7</v>
      </c>
      <c r="K34" s="79">
        <v>7</v>
      </c>
    </row>
    <row r="35" spans="1:11" ht="21">
      <c r="A35" s="9"/>
      <c r="B35" s="11" t="s">
        <v>35</v>
      </c>
      <c r="C35" s="12">
        <v>1.66</v>
      </c>
      <c r="D35" s="16">
        <v>7</v>
      </c>
      <c r="E35" s="16">
        <v>7</v>
      </c>
      <c r="F35" s="16">
        <v>7</v>
      </c>
      <c r="G35" s="14">
        <v>7</v>
      </c>
      <c r="H35" s="79">
        <v>7</v>
      </c>
      <c r="I35" s="79">
        <v>7</v>
      </c>
      <c r="J35" s="79">
        <v>7</v>
      </c>
      <c r="K35" s="79">
        <v>7</v>
      </c>
    </row>
    <row r="36" spans="1:11" ht="21">
      <c r="A36" s="4"/>
      <c r="B36" s="17" t="s">
        <v>28</v>
      </c>
      <c r="C36" s="6">
        <v>1.66</v>
      </c>
      <c r="D36" s="7"/>
      <c r="E36" s="7"/>
      <c r="F36" s="7"/>
      <c r="G36" s="8">
        <v>7</v>
      </c>
      <c r="H36" s="78">
        <v>7</v>
      </c>
      <c r="I36" s="78">
        <v>7</v>
      </c>
      <c r="J36" s="78">
        <v>7</v>
      </c>
      <c r="K36" s="78">
        <v>7</v>
      </c>
    </row>
    <row r="37" spans="1:11" ht="21" customHeight="1">
      <c r="A37" s="77" t="s">
        <v>36</v>
      </c>
      <c r="B37" s="253" t="s">
        <v>37</v>
      </c>
      <c r="C37" s="254"/>
      <c r="D37" s="254"/>
      <c r="E37" s="254"/>
      <c r="F37" s="254"/>
      <c r="G37" s="254"/>
      <c r="H37" s="254"/>
      <c r="I37" s="254"/>
      <c r="J37" s="254"/>
      <c r="K37" s="254"/>
    </row>
    <row r="38" spans="1:11" ht="21">
      <c r="A38" s="9"/>
      <c r="B38" s="5" t="s">
        <v>8</v>
      </c>
      <c r="C38" s="6">
        <v>1.66</v>
      </c>
      <c r="D38" s="25">
        <v>7</v>
      </c>
      <c r="E38" s="25">
        <v>7</v>
      </c>
      <c r="F38" s="25">
        <v>7</v>
      </c>
      <c r="G38" s="8">
        <v>7</v>
      </c>
      <c r="H38" s="78">
        <v>7</v>
      </c>
      <c r="I38" s="78">
        <v>7</v>
      </c>
      <c r="J38" s="78">
        <v>7</v>
      </c>
      <c r="K38" s="78">
        <v>7</v>
      </c>
    </row>
    <row r="39" spans="1:11" s="187" customFormat="1" ht="21">
      <c r="A39" s="180"/>
      <c r="B39" s="181" t="s">
        <v>11</v>
      </c>
      <c r="C39" s="182">
        <v>1.66</v>
      </c>
      <c r="D39" s="183"/>
      <c r="E39" s="183"/>
      <c r="F39" s="184">
        <v>3</v>
      </c>
      <c r="G39" s="185">
        <v>6</v>
      </c>
      <c r="H39" s="185">
        <v>6</v>
      </c>
      <c r="I39" s="185">
        <v>6</v>
      </c>
      <c r="J39" s="185">
        <v>6</v>
      </c>
      <c r="K39" s="186" t="s">
        <v>146</v>
      </c>
    </row>
    <row r="40" spans="1:11" ht="21">
      <c r="A40" s="9"/>
      <c r="B40" s="11" t="s">
        <v>13</v>
      </c>
      <c r="C40" s="12">
        <v>1.66</v>
      </c>
      <c r="D40" s="141">
        <v>7</v>
      </c>
      <c r="E40" s="141">
        <v>7</v>
      </c>
      <c r="F40" s="141">
        <v>7</v>
      </c>
      <c r="G40" s="102">
        <v>6</v>
      </c>
      <c r="H40" s="102">
        <v>6</v>
      </c>
      <c r="I40" s="102">
        <v>6</v>
      </c>
      <c r="J40" s="102">
        <v>6</v>
      </c>
      <c r="K40" s="102">
        <v>6</v>
      </c>
    </row>
    <row r="41" spans="1:11" s="187" customFormat="1" ht="21">
      <c r="A41" s="180"/>
      <c r="B41" s="181" t="s">
        <v>15</v>
      </c>
      <c r="C41" s="182">
        <v>1.66</v>
      </c>
      <c r="D41" s="183"/>
      <c r="E41" s="183"/>
      <c r="F41" s="184">
        <v>4</v>
      </c>
      <c r="G41" s="185">
        <v>6</v>
      </c>
      <c r="H41" s="185">
        <v>6</v>
      </c>
      <c r="I41" s="185">
        <v>6</v>
      </c>
      <c r="J41" s="185">
        <v>6</v>
      </c>
      <c r="K41" s="186" t="s">
        <v>146</v>
      </c>
    </row>
    <row r="42" spans="1:11" ht="21">
      <c r="A42" s="9"/>
      <c r="B42" s="11" t="s">
        <v>16</v>
      </c>
      <c r="C42" s="12">
        <v>1.66</v>
      </c>
      <c r="D42" s="13"/>
      <c r="E42" s="13"/>
      <c r="F42" s="209">
        <v>6</v>
      </c>
      <c r="G42" s="14">
        <v>6</v>
      </c>
      <c r="H42" s="79">
        <v>6</v>
      </c>
      <c r="I42" s="79">
        <v>6</v>
      </c>
      <c r="J42" s="79">
        <v>6</v>
      </c>
      <c r="K42" s="80" t="s">
        <v>146</v>
      </c>
    </row>
    <row r="43" spans="1:11" s="187" customFormat="1" ht="21">
      <c r="A43" s="180"/>
      <c r="B43" s="181" t="s">
        <v>17</v>
      </c>
      <c r="C43" s="182">
        <v>1.66</v>
      </c>
      <c r="D43" s="222">
        <v>7</v>
      </c>
      <c r="E43" s="222">
        <v>7</v>
      </c>
      <c r="F43" s="184">
        <v>5</v>
      </c>
      <c r="G43" s="185">
        <v>6</v>
      </c>
      <c r="H43" s="185">
        <v>6</v>
      </c>
      <c r="I43" s="185">
        <v>6</v>
      </c>
      <c r="J43" s="185">
        <v>6</v>
      </c>
      <c r="K43" s="186" t="s">
        <v>146</v>
      </c>
    </row>
    <row r="44" spans="1:11" ht="21">
      <c r="A44" s="9"/>
      <c r="B44" s="11" t="s">
        <v>18</v>
      </c>
      <c r="C44" s="12">
        <v>1.66</v>
      </c>
      <c r="D44" s="13"/>
      <c r="E44" s="13"/>
      <c r="F44" s="209">
        <v>5</v>
      </c>
      <c r="G44" s="14">
        <v>7</v>
      </c>
      <c r="H44" s="79">
        <v>7</v>
      </c>
      <c r="I44" s="79">
        <v>7</v>
      </c>
      <c r="J44" s="79">
        <v>7</v>
      </c>
      <c r="K44" s="80" t="s">
        <v>34</v>
      </c>
    </row>
    <row r="45" spans="1:11" ht="21">
      <c r="A45" s="9"/>
      <c r="B45" s="11" t="s">
        <v>35</v>
      </c>
      <c r="C45" s="12">
        <v>1.66</v>
      </c>
      <c r="D45" s="16">
        <v>7</v>
      </c>
      <c r="E45" s="16">
        <v>7</v>
      </c>
      <c r="F45" s="16">
        <v>7</v>
      </c>
      <c r="G45" s="14">
        <v>7</v>
      </c>
      <c r="H45" s="79">
        <v>7</v>
      </c>
      <c r="I45" s="79">
        <v>7</v>
      </c>
      <c r="J45" s="79">
        <v>7</v>
      </c>
      <c r="K45" s="79">
        <v>7</v>
      </c>
    </row>
    <row r="46" spans="1:11" ht="21">
      <c r="A46" s="4"/>
      <c r="B46" s="17" t="s">
        <v>28</v>
      </c>
      <c r="C46" s="6">
        <v>1.66</v>
      </c>
      <c r="D46" s="7"/>
      <c r="E46" s="7"/>
      <c r="F46" s="7"/>
      <c r="G46" s="8">
        <v>7</v>
      </c>
      <c r="H46" s="78">
        <v>7</v>
      </c>
      <c r="I46" s="78">
        <v>7</v>
      </c>
      <c r="J46" s="78">
        <v>7</v>
      </c>
      <c r="K46" s="78">
        <v>7</v>
      </c>
    </row>
    <row r="47" spans="1:11" ht="21" customHeight="1">
      <c r="A47" s="77" t="s">
        <v>40</v>
      </c>
      <c r="B47" s="253" t="s">
        <v>41</v>
      </c>
      <c r="C47" s="254"/>
      <c r="D47" s="254"/>
      <c r="E47" s="254"/>
      <c r="F47" s="254"/>
      <c r="G47" s="254"/>
      <c r="H47" s="254"/>
      <c r="I47" s="254"/>
      <c r="J47" s="254"/>
      <c r="K47" s="254"/>
    </row>
    <row r="48" spans="1:11" ht="21">
      <c r="A48" s="4"/>
      <c r="B48" s="5" t="s">
        <v>8</v>
      </c>
      <c r="C48" s="6">
        <v>1.66</v>
      </c>
      <c r="D48" s="7"/>
      <c r="E48" s="7"/>
      <c r="F48" s="7"/>
      <c r="G48" s="8">
        <v>4</v>
      </c>
      <c r="H48" s="78">
        <v>4</v>
      </c>
      <c r="I48" s="78">
        <v>5</v>
      </c>
      <c r="J48" s="78">
        <v>5</v>
      </c>
      <c r="K48" s="84" t="s">
        <v>38</v>
      </c>
    </row>
    <row r="49" spans="1:11" ht="21" customHeight="1">
      <c r="A49" s="77" t="s">
        <v>42</v>
      </c>
      <c r="B49" s="253" t="s">
        <v>43</v>
      </c>
      <c r="C49" s="254"/>
      <c r="D49" s="254"/>
      <c r="E49" s="254"/>
      <c r="F49" s="254"/>
      <c r="G49" s="254"/>
      <c r="H49" s="254"/>
      <c r="I49" s="254"/>
      <c r="J49" s="254"/>
      <c r="K49" s="254"/>
    </row>
    <row r="50" spans="1:11" ht="21">
      <c r="A50" s="9"/>
      <c r="B50" s="5" t="s">
        <v>8</v>
      </c>
      <c r="C50" s="6">
        <v>1.66</v>
      </c>
      <c r="D50" s="26">
        <v>-24.25</v>
      </c>
      <c r="E50" s="26">
        <v>-19.85</v>
      </c>
      <c r="F50" s="26">
        <v>-25.65</v>
      </c>
      <c r="G50" s="28">
        <v>-25</v>
      </c>
      <c r="H50" s="85">
        <v>-25</v>
      </c>
      <c r="I50" s="85">
        <v>-25</v>
      </c>
      <c r="J50" s="85">
        <v>-20</v>
      </c>
      <c r="K50" s="85">
        <v>-15</v>
      </c>
    </row>
    <row r="51" spans="1:12" s="187" customFormat="1" ht="21">
      <c r="A51" s="180"/>
      <c r="B51" s="181" t="s">
        <v>11</v>
      </c>
      <c r="C51" s="182">
        <v>1.66</v>
      </c>
      <c r="D51" s="183"/>
      <c r="E51" s="183"/>
      <c r="F51" s="194">
        <v>-45.85</v>
      </c>
      <c r="G51" s="185">
        <v>-40</v>
      </c>
      <c r="H51" s="185">
        <v>-40</v>
      </c>
      <c r="I51" s="185">
        <v>-40</v>
      </c>
      <c r="J51" s="185">
        <v>-40</v>
      </c>
      <c r="K51" s="186" t="s">
        <v>44</v>
      </c>
      <c r="L51" s="210" t="s">
        <v>545</v>
      </c>
    </row>
    <row r="52" spans="1:11" ht="21">
      <c r="A52" s="9"/>
      <c r="B52" s="11" t="s">
        <v>13</v>
      </c>
      <c r="C52" s="12">
        <v>1.66</v>
      </c>
      <c r="D52" s="141">
        <v>-49.45</v>
      </c>
      <c r="E52" s="173">
        <v>-43.7</v>
      </c>
      <c r="F52" s="173">
        <v>-54.55</v>
      </c>
      <c r="G52" s="14">
        <v>-40</v>
      </c>
      <c r="H52" s="79">
        <v>-40</v>
      </c>
      <c r="I52" s="79">
        <v>-35</v>
      </c>
      <c r="J52" s="79">
        <v>-35</v>
      </c>
      <c r="K52" s="79">
        <v>-35</v>
      </c>
    </row>
    <row r="53" spans="1:11" s="187" customFormat="1" ht="21">
      <c r="A53" s="188"/>
      <c r="B53" s="189" t="s">
        <v>15</v>
      </c>
      <c r="C53" s="190">
        <v>1.66</v>
      </c>
      <c r="D53" s="183"/>
      <c r="E53" s="191"/>
      <c r="F53" s="192">
        <v>-27.55</v>
      </c>
      <c r="G53" s="193">
        <v>-30</v>
      </c>
      <c r="H53" s="193">
        <v>-30</v>
      </c>
      <c r="I53" s="193">
        <v>-30</v>
      </c>
      <c r="J53" s="193">
        <v>-30</v>
      </c>
      <c r="K53" s="193">
        <v>-30</v>
      </c>
    </row>
    <row r="54" spans="1:11" ht="21">
      <c r="A54" s="9"/>
      <c r="B54" s="11" t="s">
        <v>16</v>
      </c>
      <c r="C54" s="12">
        <v>1.66</v>
      </c>
      <c r="D54" s="173">
        <f>(15-20)*100/20</f>
        <v>-25</v>
      </c>
      <c r="E54" s="173">
        <f>(17.88-20)/20*100</f>
        <v>-10.600000000000005</v>
      </c>
      <c r="F54" s="26">
        <f>(23.53-20)/0.2</f>
        <v>17.650000000000006</v>
      </c>
      <c r="G54" s="14">
        <v>0</v>
      </c>
      <c r="H54" s="14">
        <v>0</v>
      </c>
      <c r="I54" s="14">
        <v>0</v>
      </c>
      <c r="J54" s="14">
        <v>0</v>
      </c>
      <c r="K54" s="14">
        <v>0</v>
      </c>
    </row>
    <row r="55" spans="1:11" s="187" customFormat="1" ht="21">
      <c r="A55" s="180"/>
      <c r="B55" s="181" t="s">
        <v>17</v>
      </c>
      <c r="C55" s="182">
        <v>1.66</v>
      </c>
      <c r="D55" s="192">
        <f>(11.38-20)/20*100</f>
        <v>-43.099999999999994</v>
      </c>
      <c r="E55" s="192">
        <f>(11.92-20)/20*100</f>
        <v>-40.400000000000006</v>
      </c>
      <c r="F55" s="194">
        <f>(14.92-20)/20*100</f>
        <v>-25.4</v>
      </c>
      <c r="G55" s="185">
        <v>-30</v>
      </c>
      <c r="H55" s="185">
        <v>-30</v>
      </c>
      <c r="I55" s="185">
        <v>-30</v>
      </c>
      <c r="J55" s="185">
        <v>-30</v>
      </c>
      <c r="K55" s="185">
        <v>-30</v>
      </c>
    </row>
    <row r="56" spans="1:11" ht="21">
      <c r="A56" s="9"/>
      <c r="B56" s="11" t="s">
        <v>18</v>
      </c>
      <c r="C56" s="12">
        <v>1.66</v>
      </c>
      <c r="D56" s="13"/>
      <c r="E56" s="7"/>
      <c r="F56" s="26">
        <f>(14.19-20)/20*100</f>
        <v>-29.050000000000004</v>
      </c>
      <c r="G56" s="14">
        <v>-40</v>
      </c>
      <c r="H56" s="79">
        <v>-40</v>
      </c>
      <c r="I56" s="79">
        <v>-35</v>
      </c>
      <c r="J56" s="79">
        <v>-35</v>
      </c>
      <c r="K56" s="80" t="s">
        <v>45</v>
      </c>
    </row>
    <row r="57" spans="1:12" ht="21">
      <c r="A57" s="4"/>
      <c r="B57" s="17" t="s">
        <v>35</v>
      </c>
      <c r="C57" s="6">
        <v>1.66</v>
      </c>
      <c r="D57" s="7"/>
      <c r="E57" s="7"/>
      <c r="F57" s="173">
        <v>-27.88</v>
      </c>
      <c r="G57" s="30">
        <v>-15</v>
      </c>
      <c r="H57" s="30">
        <v>-13.5</v>
      </c>
      <c r="I57" s="30">
        <v>-13.5</v>
      </c>
      <c r="J57" s="30">
        <v>-13.5</v>
      </c>
      <c r="K57" s="30">
        <v>-13.5</v>
      </c>
      <c r="L57" s="67" t="s">
        <v>516</v>
      </c>
    </row>
    <row r="58" spans="1:11" ht="21" customHeight="1">
      <c r="A58" s="108" t="s">
        <v>46</v>
      </c>
      <c r="B58" s="257" t="s">
        <v>47</v>
      </c>
      <c r="C58" s="258"/>
      <c r="D58" s="258"/>
      <c r="E58" s="258"/>
      <c r="F58" s="258"/>
      <c r="G58" s="258"/>
      <c r="H58" s="258"/>
      <c r="I58" s="258"/>
      <c r="J58" s="258"/>
      <c r="K58" s="258"/>
    </row>
    <row r="59" spans="1:11" ht="21">
      <c r="A59" s="9"/>
      <c r="B59" s="5" t="s">
        <v>8</v>
      </c>
      <c r="C59" s="6">
        <v>1.66</v>
      </c>
      <c r="D59" s="26" t="s">
        <v>532</v>
      </c>
      <c r="E59" s="26" t="s">
        <v>48</v>
      </c>
      <c r="F59" s="26" t="s">
        <v>49</v>
      </c>
      <c r="G59" s="8" t="s">
        <v>50</v>
      </c>
      <c r="H59" s="87" t="s">
        <v>51</v>
      </c>
      <c r="I59" s="87" t="s">
        <v>52</v>
      </c>
      <c r="J59" s="88" t="s">
        <v>53</v>
      </c>
      <c r="K59" s="88" t="s">
        <v>54</v>
      </c>
    </row>
    <row r="60" spans="1:11" s="187" customFormat="1" ht="21">
      <c r="A60" s="180"/>
      <c r="B60" s="181" t="s">
        <v>11</v>
      </c>
      <c r="C60" s="182">
        <v>1.66</v>
      </c>
      <c r="D60" s="184" t="s">
        <v>533</v>
      </c>
      <c r="E60" s="184" t="s">
        <v>518</v>
      </c>
      <c r="F60" s="194" t="s">
        <v>278</v>
      </c>
      <c r="G60" s="186" t="s">
        <v>55</v>
      </c>
      <c r="H60" s="186" t="s">
        <v>55</v>
      </c>
      <c r="I60" s="186" t="s">
        <v>55</v>
      </c>
      <c r="J60" s="186" t="s">
        <v>55</v>
      </c>
      <c r="K60" s="186" t="s">
        <v>55</v>
      </c>
    </row>
    <row r="61" spans="1:11" ht="21">
      <c r="A61" s="9"/>
      <c r="B61" s="11" t="s">
        <v>13</v>
      </c>
      <c r="C61" s="12">
        <v>1.66</v>
      </c>
      <c r="D61" s="209" t="s">
        <v>293</v>
      </c>
      <c r="E61" s="209" t="s">
        <v>519</v>
      </c>
      <c r="F61" s="26" t="s">
        <v>293</v>
      </c>
      <c r="G61" s="15" t="s">
        <v>53</v>
      </c>
      <c r="H61" s="80" t="s">
        <v>53</v>
      </c>
      <c r="I61" s="110" t="s">
        <v>53</v>
      </c>
      <c r="J61" s="216" t="s">
        <v>279</v>
      </c>
      <c r="K61" s="80" t="s">
        <v>56</v>
      </c>
    </row>
    <row r="62" spans="1:11" s="187" customFormat="1" ht="21">
      <c r="A62" s="180"/>
      <c r="B62" s="181" t="s">
        <v>15</v>
      </c>
      <c r="C62" s="182">
        <v>1.66</v>
      </c>
      <c r="D62" s="184" t="s">
        <v>534</v>
      </c>
      <c r="E62" s="184" t="s">
        <v>520</v>
      </c>
      <c r="F62" s="194" t="s">
        <v>280</v>
      </c>
      <c r="G62" s="185" t="s">
        <v>57</v>
      </c>
      <c r="H62" s="185" t="s">
        <v>57</v>
      </c>
      <c r="I62" s="185" t="s">
        <v>58</v>
      </c>
      <c r="J62" s="185" t="s">
        <v>58</v>
      </c>
      <c r="K62" s="185" t="s">
        <v>59</v>
      </c>
    </row>
    <row r="63" spans="1:11" s="67" customFormat="1" ht="21">
      <c r="A63" s="9"/>
      <c r="B63" s="11" t="s">
        <v>16</v>
      </c>
      <c r="C63" s="12">
        <v>1.66</v>
      </c>
      <c r="D63" s="173" t="s">
        <v>535</v>
      </c>
      <c r="E63" s="173" t="s">
        <v>521</v>
      </c>
      <c r="F63" s="26" t="s">
        <v>275</v>
      </c>
      <c r="G63" s="102" t="s">
        <v>550</v>
      </c>
      <c r="H63" s="109" t="s">
        <v>551</v>
      </c>
      <c r="I63" s="109" t="s">
        <v>551</v>
      </c>
      <c r="J63" s="109" t="s">
        <v>551</v>
      </c>
      <c r="K63" s="109" t="s">
        <v>551</v>
      </c>
    </row>
    <row r="64" spans="1:11" s="187" customFormat="1" ht="21">
      <c r="A64" s="180"/>
      <c r="B64" s="181" t="s">
        <v>17</v>
      </c>
      <c r="C64" s="182">
        <v>1.66</v>
      </c>
      <c r="D64" s="184" t="s">
        <v>536</v>
      </c>
      <c r="E64" s="184" t="s">
        <v>522</v>
      </c>
      <c r="F64" s="194" t="s">
        <v>281</v>
      </c>
      <c r="G64" s="186" t="s">
        <v>60</v>
      </c>
      <c r="H64" s="186" t="s">
        <v>60</v>
      </c>
      <c r="I64" s="186" t="s">
        <v>60</v>
      </c>
      <c r="J64" s="186" t="s">
        <v>60</v>
      </c>
      <c r="K64" s="186" t="s">
        <v>60</v>
      </c>
    </row>
    <row r="65" spans="1:11" ht="21">
      <c r="A65" s="9"/>
      <c r="B65" s="11" t="s">
        <v>18</v>
      </c>
      <c r="C65" s="12">
        <v>1.66</v>
      </c>
      <c r="D65" s="209" t="s">
        <v>537</v>
      </c>
      <c r="E65" s="209" t="s">
        <v>523</v>
      </c>
      <c r="F65" s="219" t="s">
        <v>517</v>
      </c>
      <c r="G65" s="15" t="s">
        <v>61</v>
      </c>
      <c r="H65" s="80" t="s">
        <v>61</v>
      </c>
      <c r="I65" s="80" t="s">
        <v>282</v>
      </c>
      <c r="J65" s="80" t="s">
        <v>282</v>
      </c>
      <c r="K65" s="80" t="s">
        <v>282</v>
      </c>
    </row>
    <row r="66" spans="1:11" ht="21">
      <c r="A66" s="4"/>
      <c r="B66" s="17" t="s">
        <v>35</v>
      </c>
      <c r="C66" s="6">
        <v>1.66</v>
      </c>
      <c r="D66" s="239" t="s">
        <v>538</v>
      </c>
      <c r="E66" s="239" t="s">
        <v>524</v>
      </c>
      <c r="F66" s="32" t="s">
        <v>283</v>
      </c>
      <c r="G66" s="24" t="s">
        <v>62</v>
      </c>
      <c r="H66" s="84" t="s">
        <v>63</v>
      </c>
      <c r="I66" s="84" t="s">
        <v>64</v>
      </c>
      <c r="J66" s="84" t="s">
        <v>65</v>
      </c>
      <c r="K66" s="84" t="s">
        <v>66</v>
      </c>
    </row>
    <row r="67" spans="1:11" ht="21" customHeight="1">
      <c r="A67" s="77" t="s">
        <v>67</v>
      </c>
      <c r="B67" s="253" t="s">
        <v>68</v>
      </c>
      <c r="C67" s="254"/>
      <c r="D67" s="254"/>
      <c r="E67" s="254"/>
      <c r="F67" s="254"/>
      <c r="G67" s="254"/>
      <c r="H67" s="254"/>
      <c r="I67" s="254"/>
      <c r="J67" s="254"/>
      <c r="K67" s="254"/>
    </row>
    <row r="68" spans="1:11" ht="21">
      <c r="A68" s="9"/>
      <c r="B68" s="5" t="s">
        <v>8</v>
      </c>
      <c r="C68" s="6">
        <v>1.66</v>
      </c>
      <c r="D68" s="26" t="s">
        <v>539</v>
      </c>
      <c r="E68" s="26" t="s">
        <v>69</v>
      </c>
      <c r="F68" s="26" t="s">
        <v>312</v>
      </c>
      <c r="G68" s="8" t="s">
        <v>70</v>
      </c>
      <c r="H68" s="78" t="s">
        <v>71</v>
      </c>
      <c r="I68" s="78" t="s">
        <v>72</v>
      </c>
      <c r="J68" s="88" t="s">
        <v>73</v>
      </c>
      <c r="K68" s="88" t="s">
        <v>74</v>
      </c>
    </row>
    <row r="69" spans="1:11" s="187" customFormat="1" ht="21">
      <c r="A69" s="180"/>
      <c r="B69" s="181" t="s">
        <v>11</v>
      </c>
      <c r="C69" s="182">
        <v>1.66</v>
      </c>
      <c r="D69" s="184" t="s">
        <v>540</v>
      </c>
      <c r="E69" s="184" t="s">
        <v>525</v>
      </c>
      <c r="F69" s="194" t="s">
        <v>284</v>
      </c>
      <c r="G69" s="186" t="s">
        <v>75</v>
      </c>
      <c r="H69" s="186" t="s">
        <v>75</v>
      </c>
      <c r="I69" s="186" t="s">
        <v>75</v>
      </c>
      <c r="J69" s="186" t="s">
        <v>75</v>
      </c>
      <c r="K69" s="186" t="s">
        <v>75</v>
      </c>
    </row>
    <row r="70" spans="1:11" ht="21">
      <c r="A70" s="9"/>
      <c r="B70" s="11" t="s">
        <v>13</v>
      </c>
      <c r="C70" s="12">
        <v>1.66</v>
      </c>
      <c r="D70" s="209" t="s">
        <v>69</v>
      </c>
      <c r="E70" s="209" t="s">
        <v>526</v>
      </c>
      <c r="F70" s="26" t="s">
        <v>285</v>
      </c>
      <c r="G70" s="103" t="s">
        <v>285</v>
      </c>
      <c r="H70" s="103" t="s">
        <v>546</v>
      </c>
      <c r="I70" s="103" t="s">
        <v>547</v>
      </c>
      <c r="J70" s="80" t="s">
        <v>286</v>
      </c>
      <c r="K70" s="80" t="s">
        <v>287</v>
      </c>
    </row>
    <row r="71" spans="1:11" s="187" customFormat="1" ht="21">
      <c r="A71" s="180"/>
      <c r="B71" s="181" t="s">
        <v>15</v>
      </c>
      <c r="C71" s="182">
        <v>1.66</v>
      </c>
      <c r="D71" s="184" t="s">
        <v>541</v>
      </c>
      <c r="E71" s="184" t="s">
        <v>527</v>
      </c>
      <c r="F71" s="194" t="s">
        <v>288</v>
      </c>
      <c r="G71" s="185" t="s">
        <v>76</v>
      </c>
      <c r="H71" s="185" t="s">
        <v>76</v>
      </c>
      <c r="I71" s="185" t="s">
        <v>76</v>
      </c>
      <c r="J71" s="185" t="s">
        <v>76</v>
      </c>
      <c r="K71" s="185" t="s">
        <v>76</v>
      </c>
    </row>
    <row r="72" spans="1:11" ht="21">
      <c r="A72" s="9"/>
      <c r="B72" s="11" t="s">
        <v>16</v>
      </c>
      <c r="C72" s="12">
        <v>1.66</v>
      </c>
      <c r="D72" s="173" t="s">
        <v>528</v>
      </c>
      <c r="E72" s="173" t="s">
        <v>528</v>
      </c>
      <c r="F72" s="26" t="s">
        <v>276</v>
      </c>
      <c r="G72" s="102" t="s">
        <v>552</v>
      </c>
      <c r="H72" s="102" t="s">
        <v>553</v>
      </c>
      <c r="I72" s="102" t="s">
        <v>553</v>
      </c>
      <c r="J72" s="102" t="s">
        <v>553</v>
      </c>
      <c r="K72" s="102" t="s">
        <v>553</v>
      </c>
    </row>
    <row r="73" spans="1:11" s="187" customFormat="1" ht="21">
      <c r="A73" s="180"/>
      <c r="B73" s="181" t="s">
        <v>17</v>
      </c>
      <c r="C73" s="182">
        <v>1.66</v>
      </c>
      <c r="D73" s="184" t="s">
        <v>542</v>
      </c>
      <c r="E73" s="184" t="s">
        <v>529</v>
      </c>
      <c r="F73" s="194" t="s">
        <v>289</v>
      </c>
      <c r="G73" s="186" t="s">
        <v>77</v>
      </c>
      <c r="H73" s="186" t="s">
        <v>77</v>
      </c>
      <c r="I73" s="186" t="s">
        <v>77</v>
      </c>
      <c r="J73" s="186" t="s">
        <v>77</v>
      </c>
      <c r="K73" s="186" t="s">
        <v>77</v>
      </c>
    </row>
    <row r="74" spans="1:11" ht="21">
      <c r="A74" s="9"/>
      <c r="B74" s="11" t="s">
        <v>18</v>
      </c>
      <c r="C74" s="12">
        <v>1.66</v>
      </c>
      <c r="D74" s="209" t="s">
        <v>543</v>
      </c>
      <c r="E74" s="209" t="s">
        <v>530</v>
      </c>
      <c r="F74" s="26" t="s">
        <v>290</v>
      </c>
      <c r="G74" s="15" t="s">
        <v>78</v>
      </c>
      <c r="H74" s="80" t="s">
        <v>79</v>
      </c>
      <c r="I74" s="80" t="s">
        <v>291</v>
      </c>
      <c r="J74" s="80" t="s">
        <v>80</v>
      </c>
      <c r="K74" s="80" t="s">
        <v>277</v>
      </c>
    </row>
    <row r="75" spans="1:11" ht="21">
      <c r="A75" s="4"/>
      <c r="B75" s="17" t="s">
        <v>35</v>
      </c>
      <c r="C75" s="6">
        <v>1.66</v>
      </c>
      <c r="D75" s="239" t="s">
        <v>544</v>
      </c>
      <c r="E75" s="239" t="s">
        <v>531</v>
      </c>
      <c r="F75" s="32" t="s">
        <v>292</v>
      </c>
      <c r="G75" s="24" t="s">
        <v>81</v>
      </c>
      <c r="H75" s="84" t="s">
        <v>82</v>
      </c>
      <c r="I75" s="84" t="s">
        <v>83</v>
      </c>
      <c r="J75" s="84" t="s">
        <v>84</v>
      </c>
      <c r="K75" s="84" t="s">
        <v>84</v>
      </c>
    </row>
    <row r="76" spans="1:11" ht="21" customHeight="1">
      <c r="A76" s="77" t="s">
        <v>85</v>
      </c>
      <c r="B76" s="253" t="s">
        <v>86</v>
      </c>
      <c r="C76" s="254"/>
      <c r="D76" s="254"/>
      <c r="E76" s="254"/>
      <c r="F76" s="254"/>
      <c r="G76" s="254"/>
      <c r="H76" s="254"/>
      <c r="I76" s="254"/>
      <c r="J76" s="254"/>
      <c r="K76" s="254"/>
    </row>
    <row r="77" spans="1:11" ht="21">
      <c r="A77" s="4"/>
      <c r="B77" s="5" t="s">
        <v>8</v>
      </c>
      <c r="C77" s="6">
        <v>1.67</v>
      </c>
      <c r="D77" s="25" t="s">
        <v>21</v>
      </c>
      <c r="E77" s="25">
        <v>4</v>
      </c>
      <c r="F77" s="25">
        <v>4</v>
      </c>
      <c r="G77" s="8">
        <v>4</v>
      </c>
      <c r="H77" s="78">
        <v>4</v>
      </c>
      <c r="I77" s="78">
        <v>4</v>
      </c>
      <c r="J77" s="78">
        <v>4</v>
      </c>
      <c r="K77" s="84" t="s">
        <v>39</v>
      </c>
    </row>
    <row r="78" spans="1:11" ht="21" customHeight="1">
      <c r="A78" s="77" t="s">
        <v>87</v>
      </c>
      <c r="B78" s="253" t="s">
        <v>88</v>
      </c>
      <c r="C78" s="254"/>
      <c r="D78" s="254"/>
      <c r="E78" s="254"/>
      <c r="F78" s="254"/>
      <c r="G78" s="254"/>
      <c r="H78" s="254"/>
      <c r="I78" s="254"/>
      <c r="J78" s="254"/>
      <c r="K78" s="254"/>
    </row>
    <row r="79" spans="1:11" ht="21">
      <c r="A79" s="9"/>
      <c r="B79" s="5" t="s">
        <v>8</v>
      </c>
      <c r="C79" s="6">
        <v>1.67</v>
      </c>
      <c r="D79" s="7"/>
      <c r="E79" s="7"/>
      <c r="F79" s="7"/>
      <c r="G79" s="8">
        <v>3</v>
      </c>
      <c r="H79" s="78">
        <v>3</v>
      </c>
      <c r="I79" s="78">
        <v>3</v>
      </c>
      <c r="J79" s="78">
        <v>4</v>
      </c>
      <c r="K79" s="84" t="s">
        <v>39</v>
      </c>
    </row>
    <row r="80" spans="1:11" ht="21">
      <c r="A80" s="77" t="s">
        <v>89</v>
      </c>
      <c r="B80" s="253" t="s">
        <v>90</v>
      </c>
      <c r="C80" s="254"/>
      <c r="D80" s="254"/>
      <c r="E80" s="254"/>
      <c r="F80" s="254"/>
      <c r="G80" s="254"/>
      <c r="H80" s="254"/>
      <c r="I80" s="254"/>
      <c r="J80" s="254"/>
      <c r="K80" s="254"/>
    </row>
    <row r="81" spans="1:11" ht="21" customHeight="1">
      <c r="A81" s="4"/>
      <c r="B81" s="5" t="s">
        <v>8</v>
      </c>
      <c r="C81" s="6">
        <v>1.67</v>
      </c>
      <c r="D81" s="33">
        <v>87.74703557312253</v>
      </c>
      <c r="E81" s="33">
        <v>85.14492753623189</v>
      </c>
      <c r="F81" s="33">
        <v>86.37873754152824</v>
      </c>
      <c r="G81" s="8">
        <v>85</v>
      </c>
      <c r="H81" s="78">
        <v>85</v>
      </c>
      <c r="I81" s="78">
        <v>85</v>
      </c>
      <c r="J81" s="88">
        <v>85</v>
      </c>
      <c r="K81" s="88">
        <v>85</v>
      </c>
    </row>
    <row r="82" spans="1:11" ht="21">
      <c r="A82" s="77" t="s">
        <v>91</v>
      </c>
      <c r="B82" s="253" t="s">
        <v>92</v>
      </c>
      <c r="C82" s="254"/>
      <c r="D82" s="254"/>
      <c r="E82" s="254"/>
      <c r="F82" s="254"/>
      <c r="G82" s="254"/>
      <c r="H82" s="254"/>
      <c r="I82" s="254"/>
      <c r="J82" s="254"/>
      <c r="K82" s="254"/>
    </row>
    <row r="83" spans="1:11" ht="21" customHeight="1">
      <c r="A83" s="4"/>
      <c r="B83" s="5" t="s">
        <v>8</v>
      </c>
      <c r="C83" s="6">
        <v>1.67</v>
      </c>
      <c r="D83" s="33">
        <v>98.3957219251337</v>
      </c>
      <c r="E83" s="33">
        <v>99.0521327014218</v>
      </c>
      <c r="F83" s="33">
        <v>98.3739837398374</v>
      </c>
      <c r="G83" s="8">
        <v>99</v>
      </c>
      <c r="H83" s="78">
        <v>99</v>
      </c>
      <c r="I83" s="78">
        <v>99</v>
      </c>
      <c r="J83" s="78">
        <v>99</v>
      </c>
      <c r="K83" s="78">
        <v>99</v>
      </c>
    </row>
    <row r="84" spans="1:11" ht="21">
      <c r="A84" s="77" t="s">
        <v>93</v>
      </c>
      <c r="B84" s="253" t="s">
        <v>94</v>
      </c>
      <c r="C84" s="254"/>
      <c r="D84" s="254"/>
      <c r="E84" s="254"/>
      <c r="F84" s="254"/>
      <c r="G84" s="254"/>
      <c r="H84" s="254"/>
      <c r="I84" s="254"/>
      <c r="J84" s="254"/>
      <c r="K84" s="254"/>
    </row>
    <row r="85" spans="1:11" ht="21" customHeight="1">
      <c r="A85" s="4"/>
      <c r="B85" s="5" t="s">
        <v>8</v>
      </c>
      <c r="C85" s="6">
        <v>1.67</v>
      </c>
      <c r="D85" s="33">
        <v>3.78</v>
      </c>
      <c r="E85" s="33">
        <v>3.64</v>
      </c>
      <c r="F85" s="33">
        <v>3.84</v>
      </c>
      <c r="G85" s="30">
        <v>3.5</v>
      </c>
      <c r="H85" s="86">
        <v>3.5</v>
      </c>
      <c r="I85" s="86">
        <v>3.5</v>
      </c>
      <c r="J85" s="86">
        <v>3.75</v>
      </c>
      <c r="K85" s="86">
        <v>3.75</v>
      </c>
    </row>
    <row r="86" spans="1:11" ht="21">
      <c r="A86" s="77" t="s">
        <v>95</v>
      </c>
      <c r="B86" s="259" t="s">
        <v>268</v>
      </c>
      <c r="C86" s="260"/>
      <c r="D86" s="260"/>
      <c r="E86" s="260"/>
      <c r="F86" s="260"/>
      <c r="G86" s="260"/>
      <c r="H86" s="260"/>
      <c r="I86" s="260"/>
      <c r="J86" s="260"/>
      <c r="K86" s="260"/>
    </row>
    <row r="87" spans="1:11" ht="21">
      <c r="A87" s="4"/>
      <c r="B87" s="5" t="s">
        <v>8</v>
      </c>
      <c r="C87" s="6">
        <v>1.67</v>
      </c>
      <c r="D87" s="26">
        <v>1.03</v>
      </c>
      <c r="E87" s="26">
        <v>0.57</v>
      </c>
      <c r="F87" s="26">
        <v>1.34</v>
      </c>
      <c r="G87" s="8">
        <v>0.5</v>
      </c>
      <c r="H87" s="86">
        <v>0.5</v>
      </c>
      <c r="I87" s="86">
        <v>0.5</v>
      </c>
      <c r="J87" s="86">
        <v>0.5</v>
      </c>
      <c r="K87" s="86">
        <v>0.5</v>
      </c>
    </row>
    <row r="88" spans="1:11" ht="21">
      <c r="A88" s="77" t="s">
        <v>96</v>
      </c>
      <c r="B88" s="253" t="s">
        <v>97</v>
      </c>
      <c r="C88" s="254"/>
      <c r="D88" s="254"/>
      <c r="E88" s="254"/>
      <c r="F88" s="254"/>
      <c r="G88" s="254"/>
      <c r="H88" s="254"/>
      <c r="I88" s="254"/>
      <c r="J88" s="254"/>
      <c r="K88" s="254"/>
    </row>
    <row r="89" spans="1:11" ht="21" customHeight="1">
      <c r="A89" s="9"/>
      <c r="B89" s="5" t="s">
        <v>8</v>
      </c>
      <c r="C89" s="6">
        <v>1.67</v>
      </c>
      <c r="D89" s="10">
        <v>100</v>
      </c>
      <c r="E89" s="10">
        <v>100</v>
      </c>
      <c r="F89" s="10">
        <v>100</v>
      </c>
      <c r="G89" s="8">
        <v>90</v>
      </c>
      <c r="H89" s="78">
        <v>100</v>
      </c>
      <c r="I89" s="78">
        <v>100</v>
      </c>
      <c r="J89" s="78">
        <v>100</v>
      </c>
      <c r="K89" s="78">
        <v>100</v>
      </c>
    </row>
    <row r="90" spans="1:11" ht="21">
      <c r="A90" s="9"/>
      <c r="B90" s="11" t="s">
        <v>11</v>
      </c>
      <c r="C90" s="12">
        <v>1.67</v>
      </c>
      <c r="D90" s="16">
        <v>100</v>
      </c>
      <c r="E90" s="16">
        <v>100</v>
      </c>
      <c r="F90" s="16">
        <v>100</v>
      </c>
      <c r="G90" s="14">
        <v>100</v>
      </c>
      <c r="H90" s="79">
        <v>100</v>
      </c>
      <c r="I90" s="79">
        <v>100</v>
      </c>
      <c r="J90" s="79">
        <v>100</v>
      </c>
      <c r="K90" s="80" t="s">
        <v>98</v>
      </c>
    </row>
    <row r="91" spans="1:11" ht="21">
      <c r="A91" s="9"/>
      <c r="B91" s="11" t="s">
        <v>13</v>
      </c>
      <c r="C91" s="12">
        <v>1.67</v>
      </c>
      <c r="D91" s="16">
        <v>100</v>
      </c>
      <c r="E91" s="16">
        <v>100</v>
      </c>
      <c r="F91" s="16">
        <v>100</v>
      </c>
      <c r="G91" s="14">
        <v>100</v>
      </c>
      <c r="H91" s="79">
        <v>100</v>
      </c>
      <c r="I91" s="79">
        <v>100</v>
      </c>
      <c r="J91" s="79">
        <v>100</v>
      </c>
      <c r="K91" s="80" t="s">
        <v>98</v>
      </c>
    </row>
    <row r="92" spans="1:11" ht="21">
      <c r="A92" s="9"/>
      <c r="B92" s="11" t="s">
        <v>15</v>
      </c>
      <c r="C92" s="12">
        <v>1.67</v>
      </c>
      <c r="D92" s="7"/>
      <c r="E92" s="7"/>
      <c r="F92" s="16">
        <v>100</v>
      </c>
      <c r="G92" s="14">
        <v>100</v>
      </c>
      <c r="H92" s="79">
        <v>100</v>
      </c>
      <c r="I92" s="79">
        <v>100</v>
      </c>
      <c r="J92" s="79">
        <v>100</v>
      </c>
      <c r="K92" s="80" t="s">
        <v>98</v>
      </c>
    </row>
    <row r="93" spans="1:11" ht="21">
      <c r="A93" s="9"/>
      <c r="B93" s="11" t="s">
        <v>16</v>
      </c>
      <c r="C93" s="12">
        <v>1.67</v>
      </c>
      <c r="D93" s="16">
        <v>100</v>
      </c>
      <c r="E93" s="16">
        <v>100</v>
      </c>
      <c r="F93" s="16">
        <v>100</v>
      </c>
      <c r="G93" s="14">
        <v>100</v>
      </c>
      <c r="H93" s="79">
        <v>100</v>
      </c>
      <c r="I93" s="79">
        <v>100</v>
      </c>
      <c r="J93" s="79">
        <v>100</v>
      </c>
      <c r="K93" s="80">
        <v>100</v>
      </c>
    </row>
    <row r="94" spans="1:11" ht="21">
      <c r="A94" s="9"/>
      <c r="B94" s="11" t="s">
        <v>17</v>
      </c>
      <c r="C94" s="12">
        <v>1.67</v>
      </c>
      <c r="D94" s="16">
        <v>100</v>
      </c>
      <c r="E94" s="16">
        <v>100</v>
      </c>
      <c r="F94" s="16">
        <v>100</v>
      </c>
      <c r="G94" s="14">
        <v>100</v>
      </c>
      <c r="H94" s="79">
        <v>100</v>
      </c>
      <c r="I94" s="79">
        <v>100</v>
      </c>
      <c r="J94" s="79">
        <v>100</v>
      </c>
      <c r="K94" s="80" t="s">
        <v>98</v>
      </c>
    </row>
    <row r="95" spans="1:11" ht="21">
      <c r="A95" s="9"/>
      <c r="B95" s="11" t="s">
        <v>18</v>
      </c>
      <c r="C95" s="12">
        <v>1.67</v>
      </c>
      <c r="D95" s="16">
        <v>100</v>
      </c>
      <c r="E95" s="16">
        <v>100</v>
      </c>
      <c r="F95" s="16">
        <v>100</v>
      </c>
      <c r="G95" s="14">
        <v>100</v>
      </c>
      <c r="H95" s="79">
        <v>100</v>
      </c>
      <c r="I95" s="79">
        <v>100</v>
      </c>
      <c r="J95" s="79">
        <v>100</v>
      </c>
      <c r="K95" s="80" t="s">
        <v>98</v>
      </c>
    </row>
    <row r="96" spans="1:11" ht="21">
      <c r="A96" s="9"/>
      <c r="B96" s="11" t="s">
        <v>35</v>
      </c>
      <c r="C96" s="12">
        <v>1.67</v>
      </c>
      <c r="D96" s="16">
        <v>100</v>
      </c>
      <c r="E96" s="16">
        <v>100</v>
      </c>
      <c r="F96" s="16">
        <v>100</v>
      </c>
      <c r="G96" s="14">
        <v>100</v>
      </c>
      <c r="H96" s="79">
        <v>100</v>
      </c>
      <c r="I96" s="79">
        <v>100</v>
      </c>
      <c r="J96" s="79">
        <v>100</v>
      </c>
      <c r="K96" s="79">
        <v>100</v>
      </c>
    </row>
    <row r="97" spans="1:11" ht="21">
      <c r="A97" s="4"/>
      <c r="B97" s="17" t="s">
        <v>28</v>
      </c>
      <c r="C97" s="6">
        <v>1.67</v>
      </c>
      <c r="D97" s="7"/>
      <c r="E97" s="7"/>
      <c r="F97" s="16">
        <v>100</v>
      </c>
      <c r="G97" s="221">
        <v>0</v>
      </c>
      <c r="H97" s="78">
        <v>100</v>
      </c>
      <c r="I97" s="78">
        <v>100</v>
      </c>
      <c r="J97" s="78">
        <v>100</v>
      </c>
      <c r="K97" s="78">
        <v>100</v>
      </c>
    </row>
    <row r="98" spans="1:11" ht="21">
      <c r="A98" s="77" t="s">
        <v>99</v>
      </c>
      <c r="B98" s="253" t="s">
        <v>100</v>
      </c>
      <c r="C98" s="254"/>
      <c r="D98" s="254"/>
      <c r="E98" s="254"/>
      <c r="F98" s="254"/>
      <c r="G98" s="254"/>
      <c r="H98" s="254"/>
      <c r="I98" s="254"/>
      <c r="J98" s="254"/>
      <c r="K98" s="254"/>
    </row>
    <row r="99" spans="1:11" ht="21" customHeight="1">
      <c r="A99" s="9"/>
      <c r="B99" s="5" t="s">
        <v>8</v>
      </c>
      <c r="C99" s="6">
        <v>1.67</v>
      </c>
      <c r="D99" s="33">
        <v>4.1</v>
      </c>
      <c r="E99" s="33">
        <v>4.11</v>
      </c>
      <c r="F99" s="33">
        <v>4.33</v>
      </c>
      <c r="G99" s="8">
        <v>4.2</v>
      </c>
      <c r="H99" s="8">
        <v>4.2</v>
      </c>
      <c r="I99" s="8">
        <v>4.2</v>
      </c>
      <c r="J99" s="8">
        <v>4.2</v>
      </c>
      <c r="K99" s="8">
        <v>4.2</v>
      </c>
    </row>
    <row r="100" spans="1:11" s="187" customFormat="1" ht="21">
      <c r="A100" s="180"/>
      <c r="B100" s="181" t="s">
        <v>11</v>
      </c>
      <c r="C100" s="182">
        <v>1.67</v>
      </c>
      <c r="D100" s="184">
        <v>3.95</v>
      </c>
      <c r="E100" s="196"/>
      <c r="F100" s="197">
        <v>4.37</v>
      </c>
      <c r="G100" s="185">
        <v>4.2</v>
      </c>
      <c r="H100" s="185">
        <v>4.2</v>
      </c>
      <c r="I100" s="185">
        <v>4.2</v>
      </c>
      <c r="J100" s="185">
        <v>4.2</v>
      </c>
      <c r="K100" s="186" t="s">
        <v>101</v>
      </c>
    </row>
    <row r="101" spans="1:11" ht="21">
      <c r="A101" s="9"/>
      <c r="B101" s="11" t="s">
        <v>13</v>
      </c>
      <c r="C101" s="12">
        <v>1.67</v>
      </c>
      <c r="D101" s="161">
        <v>4.195</v>
      </c>
      <c r="E101" s="13"/>
      <c r="F101" s="16">
        <v>4.22</v>
      </c>
      <c r="G101" s="14">
        <v>4</v>
      </c>
      <c r="H101" s="79">
        <v>4</v>
      </c>
      <c r="I101" s="79">
        <v>4</v>
      </c>
      <c r="J101" s="79">
        <v>4</v>
      </c>
      <c r="K101" s="80" t="s">
        <v>39</v>
      </c>
    </row>
    <row r="102" spans="1:11" s="187" customFormat="1" ht="21">
      <c r="A102" s="180"/>
      <c r="B102" s="181" t="s">
        <v>15</v>
      </c>
      <c r="C102" s="182">
        <v>1.67</v>
      </c>
      <c r="D102" s="195">
        <v>4.295</v>
      </c>
      <c r="E102" s="196"/>
      <c r="F102" s="197">
        <v>4.42</v>
      </c>
      <c r="G102" s="185">
        <v>4</v>
      </c>
      <c r="H102" s="185">
        <v>4</v>
      </c>
      <c r="I102" s="185">
        <v>4</v>
      </c>
      <c r="J102" s="185">
        <v>4</v>
      </c>
      <c r="K102" s="186" t="s">
        <v>39</v>
      </c>
    </row>
    <row r="103" spans="1:11" ht="21">
      <c r="A103" s="9"/>
      <c r="B103" s="11" t="s">
        <v>16</v>
      </c>
      <c r="C103" s="12">
        <v>1.67</v>
      </c>
      <c r="D103" s="171">
        <v>4.12</v>
      </c>
      <c r="E103" s="171">
        <v>4.11</v>
      </c>
      <c r="F103" s="16">
        <v>4.16</v>
      </c>
      <c r="G103" s="227">
        <v>4</v>
      </c>
      <c r="H103" s="227">
        <v>4</v>
      </c>
      <c r="I103" s="211">
        <v>4.2</v>
      </c>
      <c r="J103" s="211">
        <v>4.2</v>
      </c>
      <c r="K103" s="216" t="s">
        <v>101</v>
      </c>
    </row>
    <row r="104" spans="1:11" ht="21">
      <c r="A104" s="9"/>
      <c r="B104" s="11" t="s">
        <v>17</v>
      </c>
      <c r="C104" s="12">
        <v>1.67</v>
      </c>
      <c r="D104" s="209">
        <v>4.07</v>
      </c>
      <c r="E104" s="161">
        <v>4.2</v>
      </c>
      <c r="F104" s="34">
        <v>4.26</v>
      </c>
      <c r="G104" s="15" t="s">
        <v>102</v>
      </c>
      <c r="H104" s="80" t="s">
        <v>102</v>
      </c>
      <c r="I104" s="80" t="s">
        <v>102</v>
      </c>
      <c r="J104" s="80" t="s">
        <v>102</v>
      </c>
      <c r="K104" s="80" t="s">
        <v>102</v>
      </c>
    </row>
    <row r="105" spans="1:11" ht="21">
      <c r="A105" s="9"/>
      <c r="B105" s="11" t="s">
        <v>18</v>
      </c>
      <c r="C105" s="12">
        <v>1.67</v>
      </c>
      <c r="D105" s="161">
        <v>4.5</v>
      </c>
      <c r="E105" s="13"/>
      <c r="F105" s="16">
        <v>4.46</v>
      </c>
      <c r="G105" s="14">
        <v>4</v>
      </c>
      <c r="H105" s="79">
        <v>4</v>
      </c>
      <c r="I105" s="79">
        <v>4</v>
      </c>
      <c r="J105" s="79">
        <v>4</v>
      </c>
      <c r="K105" s="80" t="s">
        <v>39</v>
      </c>
    </row>
    <row r="106" spans="1:11" ht="21">
      <c r="A106" s="4"/>
      <c r="B106" s="17" t="s">
        <v>35</v>
      </c>
      <c r="C106" s="6">
        <v>1.67</v>
      </c>
      <c r="D106" s="171">
        <v>3.865</v>
      </c>
      <c r="E106" s="7"/>
      <c r="F106" s="10">
        <v>4.47</v>
      </c>
      <c r="G106" s="8">
        <v>4</v>
      </c>
      <c r="H106" s="78">
        <v>4</v>
      </c>
      <c r="I106" s="78">
        <v>4</v>
      </c>
      <c r="J106" s="78">
        <v>4</v>
      </c>
      <c r="K106" s="78">
        <v>4</v>
      </c>
    </row>
    <row r="107" spans="1:11" ht="21">
      <c r="A107" s="77" t="s">
        <v>103</v>
      </c>
      <c r="B107" s="253" t="s">
        <v>104</v>
      </c>
      <c r="C107" s="254"/>
      <c r="D107" s="254"/>
      <c r="E107" s="254"/>
      <c r="F107" s="254"/>
      <c r="G107" s="254"/>
      <c r="H107" s="254"/>
      <c r="I107" s="254"/>
      <c r="J107" s="254"/>
      <c r="K107" s="254"/>
    </row>
    <row r="108" spans="1:11" ht="21" customHeight="1">
      <c r="A108" s="4"/>
      <c r="B108" s="5" t="s">
        <v>8</v>
      </c>
      <c r="C108" s="6">
        <v>1.67</v>
      </c>
      <c r="D108" s="33">
        <v>43.24324324324324</v>
      </c>
      <c r="E108" s="33">
        <v>89.6103896103896</v>
      </c>
      <c r="F108" s="33">
        <v>91.08527131782945</v>
      </c>
      <c r="G108" s="8">
        <v>90</v>
      </c>
      <c r="H108" s="78">
        <v>90</v>
      </c>
      <c r="I108" s="78">
        <v>90</v>
      </c>
      <c r="J108" s="78">
        <v>90</v>
      </c>
      <c r="K108" s="78">
        <v>90</v>
      </c>
    </row>
    <row r="109" spans="1:11" ht="21">
      <c r="A109" s="77" t="s">
        <v>105</v>
      </c>
      <c r="B109" s="253" t="s">
        <v>106</v>
      </c>
      <c r="C109" s="254"/>
      <c r="D109" s="254"/>
      <c r="E109" s="254"/>
      <c r="F109" s="254"/>
      <c r="G109" s="254"/>
      <c r="H109" s="254"/>
      <c r="I109" s="254"/>
      <c r="J109" s="254"/>
      <c r="K109" s="254"/>
    </row>
    <row r="110" spans="1:11" ht="21" customHeight="1">
      <c r="A110" s="9"/>
      <c r="B110" s="5" t="s">
        <v>8</v>
      </c>
      <c r="C110" s="6">
        <v>1.67</v>
      </c>
      <c r="D110" s="35">
        <v>9</v>
      </c>
      <c r="E110" s="35">
        <v>8</v>
      </c>
      <c r="F110" s="35">
        <v>26</v>
      </c>
      <c r="G110" s="8">
        <v>20</v>
      </c>
      <c r="H110" s="78">
        <v>20</v>
      </c>
      <c r="I110" s="78">
        <v>20</v>
      </c>
      <c r="J110" s="78">
        <v>20</v>
      </c>
      <c r="K110" s="78">
        <v>20</v>
      </c>
    </row>
    <row r="111" spans="1:11" ht="21">
      <c r="A111" s="4"/>
      <c r="B111" s="17" t="s">
        <v>35</v>
      </c>
      <c r="C111" s="6">
        <v>1.67</v>
      </c>
      <c r="D111" s="177">
        <v>8</v>
      </c>
      <c r="E111" s="177">
        <v>8</v>
      </c>
      <c r="F111" s="10">
        <v>15</v>
      </c>
      <c r="G111" s="8">
        <v>4</v>
      </c>
      <c r="H111" s="78">
        <v>4</v>
      </c>
      <c r="I111" s="78">
        <v>4</v>
      </c>
      <c r="J111" s="78">
        <v>4</v>
      </c>
      <c r="K111" s="78">
        <v>4</v>
      </c>
    </row>
    <row r="112" spans="1:11" ht="21">
      <c r="A112" s="77" t="s">
        <v>107</v>
      </c>
      <c r="B112" s="253" t="s">
        <v>108</v>
      </c>
      <c r="C112" s="254"/>
      <c r="D112" s="254"/>
      <c r="E112" s="254"/>
      <c r="F112" s="254"/>
      <c r="G112" s="254"/>
      <c r="H112" s="254"/>
      <c r="I112" s="254"/>
      <c r="J112" s="254"/>
      <c r="K112" s="254"/>
    </row>
    <row r="113" spans="1:11" ht="21" customHeight="1">
      <c r="A113" s="4"/>
      <c r="B113" s="5" t="s">
        <v>8</v>
      </c>
      <c r="C113" s="6">
        <v>1.67</v>
      </c>
      <c r="D113" s="35">
        <v>5</v>
      </c>
      <c r="E113" s="35">
        <v>5</v>
      </c>
      <c r="F113" s="35">
        <v>5</v>
      </c>
      <c r="G113" s="8">
        <v>5</v>
      </c>
      <c r="H113" s="78">
        <v>5</v>
      </c>
      <c r="I113" s="78">
        <v>5</v>
      </c>
      <c r="J113" s="78">
        <v>5</v>
      </c>
      <c r="K113" s="78">
        <v>5</v>
      </c>
    </row>
    <row r="114" spans="1:11" ht="21">
      <c r="A114" s="77" t="s">
        <v>109</v>
      </c>
      <c r="B114" s="253" t="s">
        <v>110</v>
      </c>
      <c r="C114" s="254"/>
      <c r="D114" s="254"/>
      <c r="E114" s="254"/>
      <c r="F114" s="254"/>
      <c r="G114" s="254"/>
      <c r="H114" s="254"/>
      <c r="I114" s="254"/>
      <c r="J114" s="254"/>
      <c r="K114" s="254"/>
    </row>
    <row r="115" spans="1:11" ht="21" customHeight="1">
      <c r="A115" s="9"/>
      <c r="B115" s="5" t="s">
        <v>8</v>
      </c>
      <c r="C115" s="6">
        <v>1.67</v>
      </c>
      <c r="D115" s="33">
        <v>44.53924914675768</v>
      </c>
      <c r="E115" s="33">
        <v>50.67340067340067</v>
      </c>
      <c r="F115" s="33">
        <v>41.534713763702804</v>
      </c>
      <c r="G115" s="31">
        <v>50</v>
      </c>
      <c r="H115" s="88">
        <v>50</v>
      </c>
      <c r="I115" s="88">
        <v>50</v>
      </c>
      <c r="J115" s="88">
        <v>52</v>
      </c>
      <c r="K115" s="88">
        <v>52</v>
      </c>
    </row>
    <row r="116" spans="1:11" ht="21">
      <c r="A116" s="9"/>
      <c r="B116" s="11" t="s">
        <v>11</v>
      </c>
      <c r="C116" s="12">
        <v>1.67</v>
      </c>
      <c r="D116" s="161">
        <f>42/52*100</f>
        <v>80.76923076923077</v>
      </c>
      <c r="E116" s="161">
        <f>46/89*100</f>
        <v>51.68539325842697</v>
      </c>
      <c r="F116" s="34">
        <v>50.67</v>
      </c>
      <c r="G116" s="14">
        <v>40</v>
      </c>
      <c r="H116" s="109">
        <v>50</v>
      </c>
      <c r="I116" s="109">
        <v>50</v>
      </c>
      <c r="J116" s="109">
        <v>50</v>
      </c>
      <c r="K116" s="109">
        <v>52</v>
      </c>
    </row>
    <row r="117" spans="1:11" ht="21">
      <c r="A117" s="9"/>
      <c r="B117" s="11" t="s">
        <v>13</v>
      </c>
      <c r="C117" s="12">
        <v>1.67</v>
      </c>
      <c r="D117" s="161">
        <f>40/78*100</f>
        <v>51.28205128205128</v>
      </c>
      <c r="E117" s="161">
        <f>52/91*100</f>
        <v>57.14285714285714</v>
      </c>
      <c r="F117" s="34">
        <v>53.191489361702125</v>
      </c>
      <c r="G117" s="102">
        <v>40</v>
      </c>
      <c r="H117" s="102">
        <v>40</v>
      </c>
      <c r="I117" s="102">
        <v>40</v>
      </c>
      <c r="J117" s="102">
        <v>42</v>
      </c>
      <c r="K117" s="103" t="s">
        <v>548</v>
      </c>
    </row>
    <row r="118" spans="1:11" s="187" customFormat="1" ht="21">
      <c r="A118" s="180"/>
      <c r="B118" s="181" t="s">
        <v>15</v>
      </c>
      <c r="C118" s="182">
        <v>1.67</v>
      </c>
      <c r="D118" s="195">
        <f>13/27*100</f>
        <v>48.148148148148145</v>
      </c>
      <c r="E118" s="195">
        <f>20/52*100</f>
        <v>38.46153846153847</v>
      </c>
      <c r="F118" s="198">
        <v>46.51162790697674</v>
      </c>
      <c r="G118" s="185">
        <v>45</v>
      </c>
      <c r="H118" s="185">
        <v>45</v>
      </c>
      <c r="I118" s="185">
        <v>50</v>
      </c>
      <c r="J118" s="185">
        <v>50</v>
      </c>
      <c r="K118" s="186" t="s">
        <v>113</v>
      </c>
    </row>
    <row r="119" spans="1:11" ht="21">
      <c r="A119" s="9"/>
      <c r="B119" s="11" t="s">
        <v>16</v>
      </c>
      <c r="C119" s="12">
        <v>1.67</v>
      </c>
      <c r="D119" s="171">
        <f>35/56*100</f>
        <v>62.5</v>
      </c>
      <c r="E119" s="171">
        <f>42/71*100</f>
        <v>59.154929577464785</v>
      </c>
      <c r="F119" s="34">
        <v>61.627906976744185</v>
      </c>
      <c r="G119" s="102">
        <v>60</v>
      </c>
      <c r="H119" s="102">
        <v>60</v>
      </c>
      <c r="I119" s="102">
        <v>62</v>
      </c>
      <c r="J119" s="102">
        <v>62</v>
      </c>
      <c r="K119" s="103" t="s">
        <v>554</v>
      </c>
    </row>
    <row r="120" spans="1:11" ht="21">
      <c r="A120" s="9"/>
      <c r="B120" s="11" t="s">
        <v>17</v>
      </c>
      <c r="C120" s="12">
        <v>1.67</v>
      </c>
      <c r="D120" s="161">
        <f>37/46*100</f>
        <v>80.43478260869566</v>
      </c>
      <c r="E120" s="161">
        <f>39/44*100</f>
        <v>88.63636363636364</v>
      </c>
      <c r="F120" s="34">
        <v>86.15384615384616</v>
      </c>
      <c r="G120" s="14">
        <v>85</v>
      </c>
      <c r="H120" s="79">
        <v>85</v>
      </c>
      <c r="I120" s="79">
        <v>85</v>
      </c>
      <c r="J120" s="79">
        <v>85</v>
      </c>
      <c r="K120" s="79">
        <v>85</v>
      </c>
    </row>
    <row r="121" spans="1:11" s="187" customFormat="1" ht="21">
      <c r="A121" s="180"/>
      <c r="B121" s="181" t="s">
        <v>18</v>
      </c>
      <c r="C121" s="182">
        <v>1.67</v>
      </c>
      <c r="D121" s="195">
        <f>18/34*100</f>
        <v>52.94117647058824</v>
      </c>
      <c r="E121" s="195">
        <f>24/51*100</f>
        <v>47.05882352941176</v>
      </c>
      <c r="F121" s="198">
        <v>31.11</v>
      </c>
      <c r="G121" s="185">
        <v>50</v>
      </c>
      <c r="H121" s="185">
        <v>52</v>
      </c>
      <c r="I121" s="185">
        <v>52</v>
      </c>
      <c r="J121" s="185">
        <v>52</v>
      </c>
      <c r="K121" s="186" t="s">
        <v>114</v>
      </c>
    </row>
    <row r="122" spans="1:11" ht="21">
      <c r="A122" s="4"/>
      <c r="B122" s="17" t="s">
        <v>35</v>
      </c>
      <c r="C122" s="6">
        <v>1.67</v>
      </c>
      <c r="D122" s="171">
        <f>66/94*100</f>
        <v>70.2127659574468</v>
      </c>
      <c r="E122" s="171">
        <f>78/126*100</f>
        <v>61.904761904761905</v>
      </c>
      <c r="F122" s="171">
        <v>37.41</v>
      </c>
      <c r="G122" s="8">
        <v>44</v>
      </c>
      <c r="H122" s="8">
        <v>44</v>
      </c>
      <c r="I122" s="78">
        <v>45</v>
      </c>
      <c r="J122" s="78">
        <v>45</v>
      </c>
      <c r="K122" s="78">
        <v>45</v>
      </c>
    </row>
    <row r="123" spans="1:11" ht="21">
      <c r="A123" s="77" t="s">
        <v>115</v>
      </c>
      <c r="B123" s="253" t="s">
        <v>116</v>
      </c>
      <c r="C123" s="254"/>
      <c r="D123" s="254"/>
      <c r="E123" s="254"/>
      <c r="F123" s="254"/>
      <c r="G123" s="254"/>
      <c r="H123" s="254"/>
      <c r="I123" s="254"/>
      <c r="J123" s="254"/>
      <c r="K123" s="254"/>
    </row>
    <row r="124" spans="1:11" ht="21" customHeight="1">
      <c r="A124" s="9"/>
      <c r="B124" s="5" t="s">
        <v>8</v>
      </c>
      <c r="C124" s="6">
        <v>3.33</v>
      </c>
      <c r="D124" s="7"/>
      <c r="E124" s="7"/>
      <c r="F124" s="7"/>
      <c r="G124" s="8">
        <v>80</v>
      </c>
      <c r="H124" s="78">
        <v>80</v>
      </c>
      <c r="I124" s="78">
        <v>80</v>
      </c>
      <c r="J124" s="78">
        <v>80</v>
      </c>
      <c r="K124" s="78">
        <v>80</v>
      </c>
    </row>
    <row r="125" spans="1:11" ht="21">
      <c r="A125" s="9"/>
      <c r="B125" s="11" t="s">
        <v>11</v>
      </c>
      <c r="C125" s="12">
        <v>3.33</v>
      </c>
      <c r="D125" s="13"/>
      <c r="E125" s="13"/>
      <c r="F125" s="13"/>
      <c r="G125" s="102">
        <v>80</v>
      </c>
      <c r="H125" s="102">
        <v>80</v>
      </c>
      <c r="I125" s="102">
        <v>80</v>
      </c>
      <c r="J125" s="102">
        <v>80</v>
      </c>
      <c r="K125" s="102">
        <v>80</v>
      </c>
    </row>
    <row r="126" spans="1:11" ht="21">
      <c r="A126" s="9"/>
      <c r="B126" s="11" t="s">
        <v>13</v>
      </c>
      <c r="C126" s="12">
        <v>3.33</v>
      </c>
      <c r="D126" s="13"/>
      <c r="E126" s="13"/>
      <c r="F126" s="13"/>
      <c r="G126" s="14">
        <v>60</v>
      </c>
      <c r="H126" s="79">
        <v>60</v>
      </c>
      <c r="I126" s="109">
        <v>65</v>
      </c>
      <c r="J126" s="109">
        <v>65</v>
      </c>
      <c r="K126" s="109">
        <v>70</v>
      </c>
    </row>
    <row r="127" spans="1:11" ht="21">
      <c r="A127" s="9"/>
      <c r="B127" s="11" t="s">
        <v>15</v>
      </c>
      <c r="C127" s="12">
        <v>3.33</v>
      </c>
      <c r="D127" s="13"/>
      <c r="E127" s="13"/>
      <c r="F127" s="13"/>
      <c r="G127" s="105">
        <v>80</v>
      </c>
      <c r="H127" s="105">
        <v>80</v>
      </c>
      <c r="I127" s="105">
        <v>80</v>
      </c>
      <c r="J127" s="105">
        <v>80</v>
      </c>
      <c r="K127" s="105">
        <v>80</v>
      </c>
    </row>
    <row r="128" spans="1:12" ht="21">
      <c r="A128" s="9"/>
      <c r="B128" s="11" t="s">
        <v>16</v>
      </c>
      <c r="C128" s="12">
        <v>3.33</v>
      </c>
      <c r="D128" s="33">
        <v>34.78</v>
      </c>
      <c r="E128" s="33">
        <v>34.78</v>
      </c>
      <c r="F128" s="33">
        <v>47.61</v>
      </c>
      <c r="G128" s="14">
        <v>90</v>
      </c>
      <c r="H128" s="14">
        <v>90</v>
      </c>
      <c r="I128" s="14">
        <v>90</v>
      </c>
      <c r="J128" s="14">
        <v>90</v>
      </c>
      <c r="K128" s="14">
        <v>90</v>
      </c>
      <c r="L128" s="210" t="s">
        <v>545</v>
      </c>
    </row>
    <row r="129" spans="1:11" ht="21">
      <c r="A129" s="9"/>
      <c r="B129" s="11" t="s">
        <v>17</v>
      </c>
      <c r="C129" s="12">
        <v>3.33</v>
      </c>
      <c r="D129" s="13"/>
      <c r="E129" s="13"/>
      <c r="F129" s="13"/>
      <c r="G129" s="14">
        <v>100</v>
      </c>
      <c r="H129" s="79">
        <v>100</v>
      </c>
      <c r="I129" s="79">
        <v>100</v>
      </c>
      <c r="J129" s="79">
        <v>100</v>
      </c>
      <c r="K129" s="79">
        <v>100</v>
      </c>
    </row>
    <row r="130" spans="1:11" ht="21">
      <c r="A130" s="9"/>
      <c r="B130" s="11" t="s">
        <v>18</v>
      </c>
      <c r="C130" s="12">
        <v>3.33</v>
      </c>
      <c r="D130" s="13"/>
      <c r="E130" s="13"/>
      <c r="F130" s="34">
        <v>90.9</v>
      </c>
      <c r="G130" s="14">
        <v>90</v>
      </c>
      <c r="H130" s="79">
        <v>90</v>
      </c>
      <c r="I130" s="79">
        <v>90</v>
      </c>
      <c r="J130" s="79">
        <v>90</v>
      </c>
      <c r="K130" s="79">
        <v>90</v>
      </c>
    </row>
    <row r="131" spans="1:11" ht="21">
      <c r="A131" s="4"/>
      <c r="B131" s="17" t="s">
        <v>35</v>
      </c>
      <c r="C131" s="6">
        <v>3.33</v>
      </c>
      <c r="D131" s="33">
        <v>36.36363636363637</v>
      </c>
      <c r="E131" s="33">
        <v>30.76923076923077</v>
      </c>
      <c r="F131" s="33">
        <v>33.33333333333333</v>
      </c>
      <c r="G131" s="28">
        <v>70</v>
      </c>
      <c r="H131" s="85">
        <v>80</v>
      </c>
      <c r="I131" s="85">
        <v>85</v>
      </c>
      <c r="J131" s="85">
        <v>90</v>
      </c>
      <c r="K131" s="85">
        <v>95</v>
      </c>
    </row>
    <row r="132" spans="1:11" ht="21">
      <c r="A132" s="77" t="s">
        <v>117</v>
      </c>
      <c r="B132" s="253" t="s">
        <v>118</v>
      </c>
      <c r="C132" s="254"/>
      <c r="D132" s="254"/>
      <c r="E132" s="254"/>
      <c r="F132" s="254"/>
      <c r="G132" s="254"/>
      <c r="H132" s="254"/>
      <c r="I132" s="254"/>
      <c r="J132" s="254"/>
      <c r="K132" s="254"/>
    </row>
    <row r="133" spans="1:11" ht="21" customHeight="1">
      <c r="A133" s="9"/>
      <c r="B133" s="5" t="s">
        <v>8</v>
      </c>
      <c r="C133" s="6">
        <v>3.33</v>
      </c>
      <c r="D133" s="26">
        <v>133.33333333333331</v>
      </c>
      <c r="E133" s="26">
        <v>74.35897435897436</v>
      </c>
      <c r="F133" s="26">
        <v>168.75</v>
      </c>
      <c r="G133" s="8">
        <v>75</v>
      </c>
      <c r="H133" s="78">
        <v>80</v>
      </c>
      <c r="I133" s="78">
        <v>90</v>
      </c>
      <c r="J133" s="78">
        <v>100</v>
      </c>
      <c r="K133" s="78">
        <v>100</v>
      </c>
    </row>
    <row r="134" spans="1:11" ht="21">
      <c r="A134" s="9"/>
      <c r="B134" s="11" t="s">
        <v>11</v>
      </c>
      <c r="C134" s="12">
        <v>3.33</v>
      </c>
      <c r="D134" s="161">
        <f>11/6*100</f>
        <v>183.33333333333331</v>
      </c>
      <c r="E134" s="13"/>
      <c r="F134" s="34">
        <v>137.5</v>
      </c>
      <c r="G134" s="14">
        <v>100</v>
      </c>
      <c r="H134" s="79">
        <v>100</v>
      </c>
      <c r="I134" s="79">
        <v>100</v>
      </c>
      <c r="J134" s="79">
        <v>100</v>
      </c>
      <c r="K134" s="79">
        <v>100</v>
      </c>
    </row>
    <row r="135" spans="1:11" ht="21">
      <c r="A135" s="9"/>
      <c r="B135" s="11" t="s">
        <v>13</v>
      </c>
      <c r="C135" s="12">
        <v>3.33</v>
      </c>
      <c r="D135" s="161">
        <f>7/6*100</f>
        <v>116.66666666666667</v>
      </c>
      <c r="E135" s="161">
        <f>7/4*100</f>
        <v>175</v>
      </c>
      <c r="F135" s="34">
        <v>87.5</v>
      </c>
      <c r="G135" s="14">
        <v>100</v>
      </c>
      <c r="H135" s="79">
        <v>100</v>
      </c>
      <c r="I135" s="79">
        <v>100</v>
      </c>
      <c r="J135" s="79">
        <v>100</v>
      </c>
      <c r="K135" s="80" t="s">
        <v>98</v>
      </c>
    </row>
    <row r="136" spans="1:11" s="187" customFormat="1" ht="21">
      <c r="A136" s="180"/>
      <c r="B136" s="181" t="s">
        <v>15</v>
      </c>
      <c r="C136" s="182">
        <v>3.33</v>
      </c>
      <c r="D136" s="195">
        <f>6/4*100</f>
        <v>150</v>
      </c>
      <c r="E136" s="196"/>
      <c r="F136" s="198">
        <v>80</v>
      </c>
      <c r="G136" s="185">
        <v>100</v>
      </c>
      <c r="H136" s="185">
        <v>100</v>
      </c>
      <c r="I136" s="185">
        <v>100</v>
      </c>
      <c r="J136" s="185">
        <v>100</v>
      </c>
      <c r="K136" s="185">
        <v>100</v>
      </c>
    </row>
    <row r="137" spans="1:11" ht="21">
      <c r="A137" s="9"/>
      <c r="B137" s="11" t="s">
        <v>16</v>
      </c>
      <c r="C137" s="12">
        <v>3.33</v>
      </c>
      <c r="D137" s="171">
        <f>4/2*100</f>
        <v>200</v>
      </c>
      <c r="E137" s="173">
        <f>2/7*100</f>
        <v>28.57142857142857</v>
      </c>
      <c r="F137" s="34">
        <v>128.57142857142858</v>
      </c>
      <c r="G137" s="102">
        <v>80</v>
      </c>
      <c r="H137" s="102">
        <v>80</v>
      </c>
      <c r="I137" s="102">
        <v>90</v>
      </c>
      <c r="J137" s="102">
        <v>100</v>
      </c>
      <c r="K137" s="103" t="s">
        <v>98</v>
      </c>
    </row>
    <row r="138" spans="1:11" ht="21">
      <c r="A138" s="9"/>
      <c r="B138" s="11" t="s">
        <v>17</v>
      </c>
      <c r="C138" s="12">
        <v>3.33</v>
      </c>
      <c r="D138" s="161">
        <f>17/9*100</f>
        <v>188.88888888888889</v>
      </c>
      <c r="E138" s="161">
        <f>7/10*100</f>
        <v>70</v>
      </c>
      <c r="F138" s="161">
        <v>218.18</v>
      </c>
      <c r="G138" s="14">
        <v>100</v>
      </c>
      <c r="H138" s="79">
        <v>100</v>
      </c>
      <c r="I138" s="79">
        <v>100</v>
      </c>
      <c r="J138" s="79">
        <v>100</v>
      </c>
      <c r="K138" s="79">
        <v>100</v>
      </c>
    </row>
    <row r="139" spans="1:11" ht="21">
      <c r="A139" s="9"/>
      <c r="B139" s="11" t="s">
        <v>18</v>
      </c>
      <c r="C139" s="12">
        <v>3.33</v>
      </c>
      <c r="D139" s="161">
        <f>2/3*100</f>
        <v>66.66666666666666</v>
      </c>
      <c r="E139" s="161">
        <f>6/5*100</f>
        <v>120</v>
      </c>
      <c r="F139" s="34">
        <v>800</v>
      </c>
      <c r="G139" s="14">
        <v>100</v>
      </c>
      <c r="H139" s="79">
        <v>100</v>
      </c>
      <c r="I139" s="79">
        <v>100</v>
      </c>
      <c r="J139" s="79">
        <v>100</v>
      </c>
      <c r="K139" s="80" t="s">
        <v>98</v>
      </c>
    </row>
    <row r="140" spans="1:11" ht="21">
      <c r="A140" s="4"/>
      <c r="B140" s="17" t="s">
        <v>35</v>
      </c>
      <c r="C140" s="6">
        <v>3.33</v>
      </c>
      <c r="D140" s="171">
        <f>5/9*100</f>
        <v>55.55555555555556</v>
      </c>
      <c r="E140" s="171">
        <f>7/2*100</f>
        <v>350</v>
      </c>
      <c r="F140" s="171">
        <v>142.86</v>
      </c>
      <c r="G140" s="8">
        <v>80</v>
      </c>
      <c r="H140" s="78">
        <v>80</v>
      </c>
      <c r="I140" s="78">
        <v>80</v>
      </c>
      <c r="J140" s="78">
        <v>80</v>
      </c>
      <c r="K140" s="84" t="s">
        <v>120</v>
      </c>
    </row>
    <row r="141" spans="1:11" ht="21">
      <c r="A141" s="77" t="s">
        <v>121</v>
      </c>
      <c r="B141" s="253" t="s">
        <v>122</v>
      </c>
      <c r="C141" s="254"/>
      <c r="D141" s="254"/>
      <c r="E141" s="254"/>
      <c r="F141" s="254"/>
      <c r="G141" s="254"/>
      <c r="H141" s="254"/>
      <c r="I141" s="254"/>
      <c r="J141" s="254"/>
      <c r="K141" s="254"/>
    </row>
    <row r="142" spans="1:11" ht="21" customHeight="1">
      <c r="A142" s="9"/>
      <c r="B142" s="5" t="s">
        <v>8</v>
      </c>
      <c r="C142" s="6">
        <v>3.34</v>
      </c>
      <c r="D142" s="7"/>
      <c r="E142" s="7"/>
      <c r="F142" s="7"/>
      <c r="G142" s="8">
        <v>20</v>
      </c>
      <c r="H142" s="8">
        <v>20</v>
      </c>
      <c r="I142" s="8">
        <v>25</v>
      </c>
      <c r="J142" s="8">
        <v>25</v>
      </c>
      <c r="K142" s="78">
        <v>25</v>
      </c>
    </row>
    <row r="143" spans="1:11" ht="21">
      <c r="A143" s="9"/>
      <c r="B143" s="11" t="s">
        <v>16</v>
      </c>
      <c r="C143" s="12">
        <v>3.34</v>
      </c>
      <c r="D143" s="14">
        <v>0</v>
      </c>
      <c r="E143" s="79">
        <v>1.7</v>
      </c>
      <c r="F143" s="79">
        <v>0</v>
      </c>
      <c r="G143" s="102">
        <v>35</v>
      </c>
      <c r="H143" s="102">
        <v>35</v>
      </c>
      <c r="I143" s="102">
        <v>35</v>
      </c>
      <c r="J143" s="102">
        <v>35</v>
      </c>
      <c r="K143" s="102">
        <v>35</v>
      </c>
    </row>
    <row r="144" spans="1:11" ht="21">
      <c r="A144" s="4"/>
      <c r="B144" s="17" t="s">
        <v>28</v>
      </c>
      <c r="C144" s="6">
        <v>3.34</v>
      </c>
      <c r="D144" s="7"/>
      <c r="E144" s="7"/>
      <c r="F144" s="7"/>
      <c r="G144" s="105">
        <v>10</v>
      </c>
      <c r="H144" s="105">
        <v>10</v>
      </c>
      <c r="I144" s="105">
        <v>15</v>
      </c>
      <c r="J144" s="105">
        <v>20</v>
      </c>
      <c r="K144" s="78">
        <v>25</v>
      </c>
    </row>
    <row r="145" spans="1:11" ht="21">
      <c r="A145" s="77" t="s">
        <v>123</v>
      </c>
      <c r="B145" s="253" t="s">
        <v>124</v>
      </c>
      <c r="C145" s="254"/>
      <c r="D145" s="254"/>
      <c r="E145" s="254"/>
      <c r="F145" s="254"/>
      <c r="G145" s="254"/>
      <c r="H145" s="254"/>
      <c r="I145" s="254"/>
      <c r="J145" s="254"/>
      <c r="K145" s="254"/>
    </row>
    <row r="146" spans="1:11" ht="21" customHeight="1">
      <c r="A146" s="9"/>
      <c r="B146" s="5" t="s">
        <v>8</v>
      </c>
      <c r="C146" s="6">
        <v>3.34</v>
      </c>
      <c r="D146" s="33" t="s">
        <v>21</v>
      </c>
      <c r="E146" s="33" t="s">
        <v>21</v>
      </c>
      <c r="F146" s="33">
        <v>200</v>
      </c>
      <c r="G146" s="8">
        <v>100</v>
      </c>
      <c r="H146" s="78">
        <v>100</v>
      </c>
      <c r="I146" s="78">
        <v>100</v>
      </c>
      <c r="J146" s="78">
        <v>150</v>
      </c>
      <c r="K146" s="78">
        <v>150</v>
      </c>
    </row>
    <row r="147" spans="1:11" ht="21">
      <c r="A147" s="108" t="s">
        <v>125</v>
      </c>
      <c r="B147" s="257" t="s">
        <v>126</v>
      </c>
      <c r="C147" s="258"/>
      <c r="D147" s="258"/>
      <c r="E147" s="258"/>
      <c r="F147" s="258"/>
      <c r="G147" s="258"/>
      <c r="H147" s="258"/>
      <c r="I147" s="258"/>
      <c r="J147" s="258"/>
      <c r="K147" s="258"/>
    </row>
    <row r="148" spans="1:11" ht="21" customHeight="1">
      <c r="A148" s="9"/>
      <c r="B148" s="5" t="s">
        <v>8</v>
      </c>
      <c r="C148" s="6">
        <v>3.33</v>
      </c>
      <c r="D148" s="173">
        <f>413/3000*100</f>
        <v>13.766666666666666</v>
      </c>
      <c r="E148" s="171">
        <f>557/3508*100</f>
        <v>15.877993158494869</v>
      </c>
      <c r="F148" s="171">
        <f>600/3199*100</f>
        <v>18.75586120662707</v>
      </c>
      <c r="G148" s="8">
        <v>17</v>
      </c>
      <c r="H148" s="89">
        <v>18</v>
      </c>
      <c r="I148" s="89">
        <v>19</v>
      </c>
      <c r="J148" s="89">
        <v>20</v>
      </c>
      <c r="K148" s="89">
        <v>21</v>
      </c>
    </row>
    <row r="149" spans="1:11" ht="21">
      <c r="A149" s="9"/>
      <c r="B149" s="11" t="s">
        <v>11</v>
      </c>
      <c r="C149" s="12">
        <v>3.33</v>
      </c>
      <c r="D149" s="13"/>
      <c r="E149" s="13"/>
      <c r="F149" s="161">
        <v>7.886435331230284</v>
      </c>
      <c r="G149" s="14">
        <v>10</v>
      </c>
      <c r="H149" s="79">
        <v>10</v>
      </c>
      <c r="I149" s="79">
        <v>10</v>
      </c>
      <c r="J149" s="79">
        <v>10</v>
      </c>
      <c r="K149" s="79">
        <v>10</v>
      </c>
    </row>
    <row r="150" spans="1:11" ht="21">
      <c r="A150" s="9"/>
      <c r="B150" s="11" t="s">
        <v>13</v>
      </c>
      <c r="C150" s="12">
        <v>3.33</v>
      </c>
      <c r="D150" s="13"/>
      <c r="E150" s="13"/>
      <c r="F150" s="161">
        <v>6.78391959798995</v>
      </c>
      <c r="G150" s="102">
        <v>6</v>
      </c>
      <c r="H150" s="102">
        <v>6</v>
      </c>
      <c r="I150" s="102">
        <v>6</v>
      </c>
      <c r="J150" s="102">
        <v>6</v>
      </c>
      <c r="K150" s="102">
        <v>6</v>
      </c>
    </row>
    <row r="151" spans="1:11" ht="21">
      <c r="A151" s="9"/>
      <c r="B151" s="11" t="s">
        <v>15</v>
      </c>
      <c r="C151" s="12">
        <v>3.33</v>
      </c>
      <c r="D151" s="13"/>
      <c r="E151" s="13"/>
      <c r="F151" s="34">
        <v>15</v>
      </c>
      <c r="G151" s="14">
        <v>10</v>
      </c>
      <c r="H151" s="79">
        <v>10</v>
      </c>
      <c r="I151" s="79">
        <v>10</v>
      </c>
      <c r="J151" s="79">
        <v>10</v>
      </c>
      <c r="K151" s="79">
        <v>10</v>
      </c>
    </row>
    <row r="152" spans="1:11" ht="21">
      <c r="A152" s="9"/>
      <c r="B152" s="11" t="s">
        <v>16</v>
      </c>
      <c r="C152" s="12">
        <v>3.33</v>
      </c>
      <c r="D152" s="173">
        <v>6.78</v>
      </c>
      <c r="E152" s="171">
        <v>28.66</v>
      </c>
      <c r="F152" s="34">
        <f>145/465*100</f>
        <v>31.182795698924732</v>
      </c>
      <c r="G152" s="14">
        <v>30</v>
      </c>
      <c r="H152" s="79">
        <v>30</v>
      </c>
      <c r="I152" s="79">
        <v>30</v>
      </c>
      <c r="J152" s="79">
        <v>30</v>
      </c>
      <c r="K152" s="80">
        <v>30</v>
      </c>
    </row>
    <row r="153" spans="1:11" ht="21">
      <c r="A153" s="9"/>
      <c r="B153" s="11" t="s">
        <v>17</v>
      </c>
      <c r="C153" s="12">
        <v>3.33</v>
      </c>
      <c r="D153" s="13"/>
      <c r="E153" s="13"/>
      <c r="F153" s="34">
        <v>20.318725099601593</v>
      </c>
      <c r="G153" s="14">
        <v>15</v>
      </c>
      <c r="H153" s="79">
        <v>15</v>
      </c>
      <c r="I153" s="79">
        <v>15</v>
      </c>
      <c r="J153" s="79">
        <v>15</v>
      </c>
      <c r="K153" s="80" t="s">
        <v>128</v>
      </c>
    </row>
    <row r="154" spans="1:11" ht="21">
      <c r="A154" s="9"/>
      <c r="B154" s="11" t="s">
        <v>18</v>
      </c>
      <c r="C154" s="12">
        <v>3.33</v>
      </c>
      <c r="D154" s="13"/>
      <c r="E154" s="13"/>
      <c r="F154" s="34">
        <v>11.904761904761903</v>
      </c>
      <c r="G154" s="14">
        <v>10</v>
      </c>
      <c r="H154" s="79">
        <v>12</v>
      </c>
      <c r="I154" s="79">
        <v>14</v>
      </c>
      <c r="J154" s="79">
        <v>16</v>
      </c>
      <c r="K154" s="80" t="s">
        <v>129</v>
      </c>
    </row>
    <row r="155" spans="1:11" ht="21">
      <c r="A155" s="4"/>
      <c r="B155" s="17" t="s">
        <v>35</v>
      </c>
      <c r="C155" s="6">
        <v>3.33</v>
      </c>
      <c r="D155" s="177" t="s">
        <v>119</v>
      </c>
      <c r="E155" s="177">
        <v>30</v>
      </c>
      <c r="F155" s="33">
        <f>37/632*100</f>
        <v>5.8544303797468356</v>
      </c>
      <c r="G155" s="8">
        <v>6</v>
      </c>
      <c r="H155" s="78">
        <v>6</v>
      </c>
      <c r="I155" s="78">
        <v>6</v>
      </c>
      <c r="J155" s="78">
        <v>6</v>
      </c>
      <c r="K155" s="78">
        <v>6</v>
      </c>
    </row>
    <row r="156" spans="1:11" ht="21">
      <c r="A156" s="77" t="s">
        <v>130</v>
      </c>
      <c r="B156" s="253" t="s">
        <v>131</v>
      </c>
      <c r="C156" s="254"/>
      <c r="D156" s="254"/>
      <c r="E156" s="254"/>
      <c r="F156" s="254"/>
      <c r="G156" s="254"/>
      <c r="H156" s="254"/>
      <c r="I156" s="254"/>
      <c r="J156" s="254"/>
      <c r="K156" s="254"/>
    </row>
    <row r="157" spans="1:11" ht="21" customHeight="1">
      <c r="A157" s="9"/>
      <c r="B157" s="5" t="s">
        <v>8</v>
      </c>
      <c r="C157" s="6">
        <v>3.33</v>
      </c>
      <c r="D157" s="26">
        <v>50.60532687651331</v>
      </c>
      <c r="E157" s="26">
        <v>44.88330341113106</v>
      </c>
      <c r="F157" s="26">
        <v>43</v>
      </c>
      <c r="G157" s="8">
        <v>40</v>
      </c>
      <c r="H157" s="89">
        <v>45</v>
      </c>
      <c r="I157" s="89">
        <v>50</v>
      </c>
      <c r="J157" s="89">
        <v>50</v>
      </c>
      <c r="K157" s="89">
        <v>50</v>
      </c>
    </row>
    <row r="158" spans="1:11" ht="21">
      <c r="A158" s="9"/>
      <c r="B158" s="11" t="s">
        <v>11</v>
      </c>
      <c r="C158" s="12">
        <v>3.33</v>
      </c>
      <c r="D158" s="13"/>
      <c r="E158" s="13"/>
      <c r="F158" s="16">
        <v>100</v>
      </c>
      <c r="G158" s="14">
        <v>100</v>
      </c>
      <c r="H158" s="79">
        <v>100</v>
      </c>
      <c r="I158" s="79">
        <v>100</v>
      </c>
      <c r="J158" s="79">
        <v>100</v>
      </c>
      <c r="K158" s="79">
        <v>100</v>
      </c>
    </row>
    <row r="159" spans="1:11" ht="21">
      <c r="A159" s="9"/>
      <c r="B159" s="11" t="s">
        <v>13</v>
      </c>
      <c r="C159" s="12">
        <v>3.33</v>
      </c>
      <c r="D159" s="13"/>
      <c r="E159" s="13"/>
      <c r="F159" s="16">
        <v>100</v>
      </c>
      <c r="G159" s="14">
        <v>100</v>
      </c>
      <c r="H159" s="79">
        <v>100</v>
      </c>
      <c r="I159" s="79">
        <v>100</v>
      </c>
      <c r="J159" s="79">
        <v>100</v>
      </c>
      <c r="K159" s="80" t="s">
        <v>98</v>
      </c>
    </row>
    <row r="160" spans="1:11" ht="21">
      <c r="A160" s="9"/>
      <c r="B160" s="11" t="s">
        <v>15</v>
      </c>
      <c r="C160" s="12">
        <v>3.33</v>
      </c>
      <c r="D160" s="13"/>
      <c r="E160" s="13"/>
      <c r="F160" s="16">
        <v>100</v>
      </c>
      <c r="G160" s="14">
        <v>100</v>
      </c>
      <c r="H160" s="79">
        <v>100</v>
      </c>
      <c r="I160" s="79">
        <v>100</v>
      </c>
      <c r="J160" s="79">
        <v>100</v>
      </c>
      <c r="K160" s="79">
        <v>100</v>
      </c>
    </row>
    <row r="161" spans="1:11" ht="21">
      <c r="A161" s="9"/>
      <c r="B161" s="11" t="s">
        <v>16</v>
      </c>
      <c r="C161" s="12">
        <v>3.33</v>
      </c>
      <c r="D161" s="26">
        <v>78.26</v>
      </c>
      <c r="E161" s="26">
        <v>30.53</v>
      </c>
      <c r="F161" s="34">
        <v>30.11</v>
      </c>
      <c r="G161" s="14">
        <v>30</v>
      </c>
      <c r="H161" s="79">
        <v>30</v>
      </c>
      <c r="I161" s="79">
        <v>30</v>
      </c>
      <c r="J161" s="79">
        <v>30</v>
      </c>
      <c r="K161" s="80">
        <v>30</v>
      </c>
    </row>
    <row r="162" spans="1:11" ht="21">
      <c r="A162" s="9"/>
      <c r="B162" s="11" t="s">
        <v>17</v>
      </c>
      <c r="C162" s="12">
        <v>3.33</v>
      </c>
      <c r="D162" s="13"/>
      <c r="E162" s="13"/>
      <c r="F162" s="16">
        <v>100</v>
      </c>
      <c r="G162" s="14">
        <v>100</v>
      </c>
      <c r="H162" s="79">
        <v>100</v>
      </c>
      <c r="I162" s="79">
        <v>100</v>
      </c>
      <c r="J162" s="79">
        <v>100</v>
      </c>
      <c r="K162" s="79">
        <v>100</v>
      </c>
    </row>
    <row r="163" spans="1:11" ht="21">
      <c r="A163" s="9"/>
      <c r="B163" s="11" t="s">
        <v>18</v>
      </c>
      <c r="C163" s="12">
        <v>3.33</v>
      </c>
      <c r="D163" s="13"/>
      <c r="E163" s="13"/>
      <c r="F163" s="16">
        <v>100</v>
      </c>
      <c r="G163" s="14">
        <v>100</v>
      </c>
      <c r="H163" s="79">
        <v>100</v>
      </c>
      <c r="I163" s="79">
        <v>100</v>
      </c>
      <c r="J163" s="79">
        <v>100</v>
      </c>
      <c r="K163" s="80" t="s">
        <v>98</v>
      </c>
    </row>
    <row r="164" spans="1:11" ht="21">
      <c r="A164" s="18"/>
      <c r="B164" s="37" t="s">
        <v>35</v>
      </c>
      <c r="C164" s="20">
        <v>3.33</v>
      </c>
      <c r="D164" s="38">
        <v>100</v>
      </c>
      <c r="E164" s="38">
        <v>100</v>
      </c>
      <c r="F164" s="38">
        <v>100</v>
      </c>
      <c r="G164" s="22">
        <v>100</v>
      </c>
      <c r="H164" s="81">
        <v>100</v>
      </c>
      <c r="I164" s="81">
        <v>100</v>
      </c>
      <c r="J164" s="81">
        <v>100</v>
      </c>
      <c r="K164" s="81">
        <v>100</v>
      </c>
    </row>
    <row r="165" spans="1:11" ht="21">
      <c r="A165" s="82" t="s">
        <v>132</v>
      </c>
      <c r="B165" s="73"/>
      <c r="C165" s="74"/>
      <c r="D165" s="74"/>
      <c r="E165" s="23"/>
      <c r="F165" s="23"/>
      <c r="G165" s="23"/>
      <c r="H165" s="83"/>
      <c r="I165" s="83"/>
      <c r="J165" s="83"/>
      <c r="K165" s="83"/>
    </row>
    <row r="166" spans="1:11" ht="21">
      <c r="A166" s="77" t="s">
        <v>133</v>
      </c>
      <c r="B166" s="253" t="s">
        <v>134</v>
      </c>
      <c r="C166" s="254"/>
      <c r="D166" s="254"/>
      <c r="E166" s="254"/>
      <c r="F166" s="254"/>
      <c r="G166" s="254"/>
      <c r="H166" s="254"/>
      <c r="I166" s="254"/>
      <c r="J166" s="254"/>
      <c r="K166" s="254"/>
    </row>
    <row r="167" spans="1:11" ht="21" customHeight="1">
      <c r="A167" s="4"/>
      <c r="B167" s="5" t="s">
        <v>8</v>
      </c>
      <c r="C167" s="6">
        <v>5</v>
      </c>
      <c r="D167" s="7"/>
      <c r="E167" s="7"/>
      <c r="F167" s="7"/>
      <c r="G167" s="8">
        <v>6</v>
      </c>
      <c r="H167" s="78">
        <v>7</v>
      </c>
      <c r="I167" s="78">
        <v>8</v>
      </c>
      <c r="J167" s="78">
        <v>8</v>
      </c>
      <c r="K167" s="84" t="s">
        <v>135</v>
      </c>
    </row>
    <row r="168" spans="1:11" ht="21">
      <c r="A168" s="77" t="s">
        <v>136</v>
      </c>
      <c r="B168" s="253" t="s">
        <v>137</v>
      </c>
      <c r="C168" s="254"/>
      <c r="D168" s="254"/>
      <c r="E168" s="254"/>
      <c r="F168" s="254"/>
      <c r="G168" s="254"/>
      <c r="H168" s="254"/>
      <c r="I168" s="254"/>
      <c r="J168" s="254"/>
      <c r="K168" s="254"/>
    </row>
    <row r="169" spans="1:11" ht="21" customHeight="1">
      <c r="A169" s="4"/>
      <c r="B169" s="5" t="s">
        <v>8</v>
      </c>
      <c r="C169" s="6">
        <v>5</v>
      </c>
      <c r="D169" s="7"/>
      <c r="E169" s="7"/>
      <c r="F169" s="7"/>
      <c r="G169" s="8">
        <v>4</v>
      </c>
      <c r="H169" s="78">
        <v>4</v>
      </c>
      <c r="I169" s="78">
        <v>4</v>
      </c>
      <c r="J169" s="78">
        <v>4</v>
      </c>
      <c r="K169" s="84" t="s">
        <v>39</v>
      </c>
    </row>
    <row r="170" spans="1:11" ht="21">
      <c r="A170" s="77" t="s">
        <v>138</v>
      </c>
      <c r="B170" s="253" t="s">
        <v>139</v>
      </c>
      <c r="C170" s="254"/>
      <c r="D170" s="254"/>
      <c r="E170" s="254"/>
      <c r="F170" s="254"/>
      <c r="G170" s="254"/>
      <c r="H170" s="254"/>
      <c r="I170" s="254"/>
      <c r="J170" s="254"/>
      <c r="K170" s="254"/>
    </row>
    <row r="171" spans="1:11" ht="21" customHeight="1">
      <c r="A171" s="9"/>
      <c r="B171" s="5" t="s">
        <v>8</v>
      </c>
      <c r="C171" s="6">
        <v>5</v>
      </c>
      <c r="D171" s="33">
        <v>100</v>
      </c>
      <c r="E171" s="33">
        <v>100</v>
      </c>
      <c r="F171" s="33">
        <v>100</v>
      </c>
      <c r="G171" s="8">
        <v>60</v>
      </c>
      <c r="H171" s="78">
        <v>65</v>
      </c>
      <c r="I171" s="78">
        <v>70</v>
      </c>
      <c r="J171" s="78">
        <v>70</v>
      </c>
      <c r="K171" s="78">
        <v>70</v>
      </c>
    </row>
    <row r="172" spans="1:11" ht="21">
      <c r="A172" s="9"/>
      <c r="B172" s="11" t="s">
        <v>11</v>
      </c>
      <c r="C172" s="12">
        <v>5</v>
      </c>
      <c r="D172" s="13"/>
      <c r="E172" s="13"/>
      <c r="F172" s="16">
        <v>70.52</v>
      </c>
      <c r="G172" s="14">
        <v>60</v>
      </c>
      <c r="H172" s="79">
        <v>65</v>
      </c>
      <c r="I172" s="79">
        <v>70</v>
      </c>
      <c r="J172" s="79">
        <v>70</v>
      </c>
      <c r="K172" s="80" t="s">
        <v>140</v>
      </c>
    </row>
    <row r="173" spans="1:11" ht="21">
      <c r="A173" s="9"/>
      <c r="B173" s="11" t="s">
        <v>13</v>
      </c>
      <c r="C173" s="12">
        <v>5</v>
      </c>
      <c r="D173" s="16">
        <v>100</v>
      </c>
      <c r="E173" s="16">
        <v>100</v>
      </c>
      <c r="F173" s="16">
        <v>100</v>
      </c>
      <c r="G173" s="14">
        <v>60</v>
      </c>
      <c r="H173" s="79">
        <v>65</v>
      </c>
      <c r="I173" s="79">
        <v>70</v>
      </c>
      <c r="J173" s="79">
        <v>70</v>
      </c>
      <c r="K173" s="80" t="s">
        <v>140</v>
      </c>
    </row>
    <row r="174" spans="1:11" s="187" customFormat="1" ht="21">
      <c r="A174" s="180"/>
      <c r="B174" s="181" t="s">
        <v>15</v>
      </c>
      <c r="C174" s="182">
        <v>5</v>
      </c>
      <c r="D174" s="183"/>
      <c r="E174" s="183"/>
      <c r="F174" s="197">
        <v>86.79</v>
      </c>
      <c r="G174" s="185">
        <v>60</v>
      </c>
      <c r="H174" s="185">
        <v>65</v>
      </c>
      <c r="I174" s="185">
        <v>70</v>
      </c>
      <c r="J174" s="185">
        <v>75</v>
      </c>
      <c r="K174" s="186" t="s">
        <v>120</v>
      </c>
    </row>
    <row r="175" spans="1:11" ht="21">
      <c r="A175" s="9"/>
      <c r="B175" s="11" t="s">
        <v>16</v>
      </c>
      <c r="C175" s="12">
        <v>5</v>
      </c>
      <c r="D175" s="16">
        <v>100</v>
      </c>
      <c r="E175" s="16">
        <v>100</v>
      </c>
      <c r="F175" s="16">
        <v>100</v>
      </c>
      <c r="G175" s="14">
        <v>90</v>
      </c>
      <c r="H175" s="79">
        <v>90</v>
      </c>
      <c r="I175" s="79">
        <v>90</v>
      </c>
      <c r="J175" s="79">
        <v>90</v>
      </c>
      <c r="K175" s="80">
        <v>90</v>
      </c>
    </row>
    <row r="176" spans="1:11" ht="21">
      <c r="A176" s="9"/>
      <c r="B176" s="11" t="s">
        <v>17</v>
      </c>
      <c r="C176" s="12">
        <v>5</v>
      </c>
      <c r="D176" s="209">
        <v>98.14</v>
      </c>
      <c r="E176" s="209">
        <v>100</v>
      </c>
      <c r="F176" s="34">
        <v>92.5</v>
      </c>
      <c r="G176" s="14">
        <v>60</v>
      </c>
      <c r="H176" s="14">
        <v>65</v>
      </c>
      <c r="I176" s="14">
        <v>70</v>
      </c>
      <c r="J176" s="14">
        <v>70</v>
      </c>
      <c r="K176" s="15" t="s">
        <v>140</v>
      </c>
    </row>
    <row r="177" spans="1:11" ht="21">
      <c r="A177" s="9"/>
      <c r="B177" s="11" t="s">
        <v>18</v>
      </c>
      <c r="C177" s="12">
        <v>5</v>
      </c>
      <c r="D177" s="209">
        <v>100</v>
      </c>
      <c r="E177" s="16">
        <v>100</v>
      </c>
      <c r="F177" s="16">
        <v>100</v>
      </c>
      <c r="G177" s="14">
        <v>60</v>
      </c>
      <c r="H177" s="79">
        <v>65</v>
      </c>
      <c r="I177" s="79">
        <v>70</v>
      </c>
      <c r="J177" s="79">
        <v>70</v>
      </c>
      <c r="K177" s="80" t="s">
        <v>140</v>
      </c>
    </row>
    <row r="178" spans="1:11" ht="21">
      <c r="A178" s="4"/>
      <c r="B178" s="17" t="s">
        <v>35</v>
      </c>
      <c r="C178" s="6">
        <v>5</v>
      </c>
      <c r="D178" s="10">
        <v>100</v>
      </c>
      <c r="E178" s="10">
        <v>100</v>
      </c>
      <c r="F178" s="10">
        <v>99.21</v>
      </c>
      <c r="G178" s="8">
        <v>60</v>
      </c>
      <c r="H178" s="240">
        <v>65</v>
      </c>
      <c r="I178" s="240">
        <v>70</v>
      </c>
      <c r="J178" s="240">
        <v>70</v>
      </c>
      <c r="K178" s="240">
        <v>70</v>
      </c>
    </row>
    <row r="179" spans="1:11" ht="21">
      <c r="A179" s="77" t="s">
        <v>141</v>
      </c>
      <c r="B179" s="253" t="s">
        <v>142</v>
      </c>
      <c r="C179" s="254"/>
      <c r="D179" s="254"/>
      <c r="E179" s="254"/>
      <c r="F179" s="254"/>
      <c r="G179" s="254"/>
      <c r="H179" s="254"/>
      <c r="I179" s="254"/>
      <c r="J179" s="254"/>
      <c r="K179" s="254"/>
    </row>
    <row r="180" spans="1:11" ht="21" customHeight="1">
      <c r="A180" s="9"/>
      <c r="B180" s="5" t="s">
        <v>8</v>
      </c>
      <c r="C180" s="6">
        <v>5</v>
      </c>
      <c r="D180" s="33">
        <v>99.4</v>
      </c>
      <c r="E180" s="33">
        <v>99.11630558722919</v>
      </c>
      <c r="F180" s="33">
        <v>99.34354485776805</v>
      </c>
      <c r="G180" s="8">
        <v>99</v>
      </c>
      <c r="H180" s="78">
        <v>99</v>
      </c>
      <c r="I180" s="78">
        <v>99</v>
      </c>
      <c r="J180" s="78">
        <v>99</v>
      </c>
      <c r="K180" s="78">
        <v>99</v>
      </c>
    </row>
    <row r="181" spans="1:11" ht="21">
      <c r="A181" s="9"/>
      <c r="B181" s="11" t="s">
        <v>11</v>
      </c>
      <c r="C181" s="12">
        <v>5</v>
      </c>
      <c r="D181" s="13"/>
      <c r="E181" s="13"/>
      <c r="F181" s="33">
        <v>99.6845425867508</v>
      </c>
      <c r="G181" s="14">
        <v>99.5</v>
      </c>
      <c r="H181" s="79">
        <v>99.5</v>
      </c>
      <c r="I181" s="79">
        <v>99.5</v>
      </c>
      <c r="J181" s="79">
        <v>99.5</v>
      </c>
      <c r="K181" s="79">
        <v>99.5</v>
      </c>
    </row>
    <row r="182" spans="1:11" ht="21">
      <c r="A182" s="9"/>
      <c r="B182" s="11" t="s">
        <v>13</v>
      </c>
      <c r="C182" s="12">
        <v>5</v>
      </c>
      <c r="D182" s="13"/>
      <c r="E182" s="13"/>
      <c r="F182" s="33">
        <v>98.74371859296483</v>
      </c>
      <c r="G182" s="217">
        <v>95</v>
      </c>
      <c r="H182" s="217">
        <v>95</v>
      </c>
      <c r="I182" s="217">
        <v>95</v>
      </c>
      <c r="J182" s="217">
        <v>95</v>
      </c>
      <c r="K182" s="217">
        <v>95</v>
      </c>
    </row>
    <row r="183" spans="1:11" s="187" customFormat="1" ht="21">
      <c r="A183" s="180"/>
      <c r="B183" s="181" t="s">
        <v>15</v>
      </c>
      <c r="C183" s="182">
        <v>5</v>
      </c>
      <c r="D183" s="183"/>
      <c r="E183" s="183"/>
      <c r="F183" s="199">
        <v>99.23076923076923</v>
      </c>
      <c r="G183" s="185">
        <v>99</v>
      </c>
      <c r="H183" s="185">
        <v>99</v>
      </c>
      <c r="I183" s="185">
        <v>99</v>
      </c>
      <c r="J183" s="185">
        <v>99</v>
      </c>
      <c r="K183" s="185">
        <v>99</v>
      </c>
    </row>
    <row r="184" spans="1:11" ht="21">
      <c r="A184" s="9"/>
      <c r="B184" s="11" t="s">
        <v>16</v>
      </c>
      <c r="C184" s="12">
        <v>5</v>
      </c>
      <c r="D184" s="13"/>
      <c r="E184" s="13"/>
      <c r="F184" s="33">
        <v>98.06451612903226</v>
      </c>
      <c r="G184" s="14">
        <v>95</v>
      </c>
      <c r="H184" s="79">
        <v>95</v>
      </c>
      <c r="I184" s="79">
        <v>95</v>
      </c>
      <c r="J184" s="79">
        <v>95</v>
      </c>
      <c r="K184" s="79">
        <v>95</v>
      </c>
    </row>
    <row r="185" spans="1:11" ht="21">
      <c r="A185" s="9"/>
      <c r="B185" s="11" t="s">
        <v>17</v>
      </c>
      <c r="C185" s="12">
        <v>5</v>
      </c>
      <c r="D185" s="13"/>
      <c r="E185" s="13"/>
      <c r="F185" s="33">
        <v>99.60159362549801</v>
      </c>
      <c r="G185" s="14">
        <v>99</v>
      </c>
      <c r="H185" s="14">
        <v>99</v>
      </c>
      <c r="I185" s="14">
        <v>99</v>
      </c>
      <c r="J185" s="14">
        <v>99</v>
      </c>
      <c r="K185" s="14">
        <v>99</v>
      </c>
    </row>
    <row r="186" spans="1:11" ht="21">
      <c r="A186" s="9"/>
      <c r="B186" s="11" t="s">
        <v>18</v>
      </c>
      <c r="C186" s="12">
        <v>5</v>
      </c>
      <c r="D186" s="13"/>
      <c r="E186" s="13"/>
      <c r="F186" s="33">
        <v>99.52380952380952</v>
      </c>
      <c r="G186" s="14">
        <v>95</v>
      </c>
      <c r="H186" s="79">
        <v>95</v>
      </c>
      <c r="I186" s="79">
        <v>95</v>
      </c>
      <c r="J186" s="79">
        <v>95</v>
      </c>
      <c r="K186" s="79">
        <v>95</v>
      </c>
    </row>
    <row r="187" spans="1:11" ht="21">
      <c r="A187" s="18"/>
      <c r="B187" s="37" t="s">
        <v>35</v>
      </c>
      <c r="C187" s="20">
        <v>5</v>
      </c>
      <c r="D187" s="38" t="s">
        <v>119</v>
      </c>
      <c r="E187" s="38" t="s">
        <v>119</v>
      </c>
      <c r="F187" s="33">
        <v>99.68354430379746</v>
      </c>
      <c r="G187" s="22">
        <v>99</v>
      </c>
      <c r="H187" s="81">
        <v>99</v>
      </c>
      <c r="I187" s="81">
        <v>99</v>
      </c>
      <c r="J187" s="81">
        <v>99</v>
      </c>
      <c r="K187" s="81">
        <v>99</v>
      </c>
    </row>
    <row r="188" spans="1:11" ht="21">
      <c r="A188" s="82" t="s">
        <v>143</v>
      </c>
      <c r="B188" s="73"/>
      <c r="C188" s="74"/>
      <c r="D188" s="74"/>
      <c r="E188" s="23"/>
      <c r="F188" s="23"/>
      <c r="G188" s="23"/>
      <c r="H188" s="83"/>
      <c r="I188" s="83"/>
      <c r="J188" s="83"/>
      <c r="K188" s="83"/>
    </row>
    <row r="189" spans="1:11" ht="21">
      <c r="A189" s="77" t="s">
        <v>144</v>
      </c>
      <c r="B189" s="253" t="s">
        <v>145</v>
      </c>
      <c r="C189" s="254"/>
      <c r="D189" s="254"/>
      <c r="E189" s="254"/>
      <c r="F189" s="254"/>
      <c r="G189" s="254"/>
      <c r="H189" s="254"/>
      <c r="I189" s="254"/>
      <c r="J189" s="254"/>
      <c r="K189" s="254"/>
    </row>
    <row r="190" spans="1:11" ht="21" customHeight="1">
      <c r="A190" s="4"/>
      <c r="B190" s="5" t="s">
        <v>8</v>
      </c>
      <c r="C190" s="6">
        <v>3</v>
      </c>
      <c r="D190" s="7"/>
      <c r="E190" s="7"/>
      <c r="F190" s="7"/>
      <c r="G190" s="8">
        <v>6</v>
      </c>
      <c r="H190" s="78">
        <v>6</v>
      </c>
      <c r="I190" s="78">
        <v>6</v>
      </c>
      <c r="J190" s="78">
        <v>6</v>
      </c>
      <c r="K190" s="84" t="s">
        <v>146</v>
      </c>
    </row>
    <row r="191" spans="1:11" ht="21">
      <c r="A191" s="77" t="s">
        <v>147</v>
      </c>
      <c r="B191" s="253" t="s">
        <v>148</v>
      </c>
      <c r="C191" s="254"/>
      <c r="D191" s="254"/>
      <c r="E191" s="254"/>
      <c r="F191" s="254"/>
      <c r="G191" s="254"/>
      <c r="H191" s="254"/>
      <c r="I191" s="254"/>
      <c r="J191" s="254"/>
      <c r="K191" s="254"/>
    </row>
    <row r="192" spans="1:11" ht="21" customHeight="1">
      <c r="A192" s="4"/>
      <c r="B192" s="5" t="s">
        <v>8</v>
      </c>
      <c r="C192" s="6">
        <v>3</v>
      </c>
      <c r="D192" s="7"/>
      <c r="E192" s="7"/>
      <c r="F192" s="7"/>
      <c r="G192" s="8">
        <v>4</v>
      </c>
      <c r="H192" s="78">
        <v>4</v>
      </c>
      <c r="I192" s="78">
        <v>4</v>
      </c>
      <c r="J192" s="78">
        <v>4</v>
      </c>
      <c r="K192" s="84" t="s">
        <v>39</v>
      </c>
    </row>
    <row r="193" spans="1:11" ht="21">
      <c r="A193" s="108" t="s">
        <v>149</v>
      </c>
      <c r="B193" s="257" t="s">
        <v>150</v>
      </c>
      <c r="C193" s="258"/>
      <c r="D193" s="258"/>
      <c r="E193" s="258"/>
      <c r="F193" s="258"/>
      <c r="G193" s="258"/>
      <c r="H193" s="258"/>
      <c r="I193" s="258"/>
      <c r="J193" s="258"/>
      <c r="K193" s="258"/>
    </row>
    <row r="194" spans="1:11" ht="21" customHeight="1">
      <c r="A194" s="159"/>
      <c r="B194" s="164" t="s">
        <v>8</v>
      </c>
      <c r="C194" s="165">
        <v>3</v>
      </c>
      <c r="D194" s="166">
        <v>355562.0609333333</v>
      </c>
      <c r="E194" s="166">
        <v>337489.15286666667</v>
      </c>
      <c r="F194" s="166">
        <v>272435.56618421053</v>
      </c>
      <c r="G194" s="167">
        <v>275000</v>
      </c>
      <c r="H194" s="168">
        <v>280000</v>
      </c>
      <c r="I194" s="168">
        <v>285000</v>
      </c>
      <c r="J194" s="168">
        <v>320000</v>
      </c>
      <c r="K194" s="168">
        <v>325000</v>
      </c>
    </row>
    <row r="195" spans="1:12" ht="21">
      <c r="A195" s="9"/>
      <c r="B195" s="160" t="s">
        <v>11</v>
      </c>
      <c r="C195" s="12">
        <v>3</v>
      </c>
      <c r="D195" s="13"/>
      <c r="E195" s="13"/>
      <c r="F195" s="166">
        <f>2490751.024625/25</f>
        <v>99630.040985</v>
      </c>
      <c r="G195" s="40">
        <f>SUM(G213,G222)</f>
        <v>80000</v>
      </c>
      <c r="H195" s="40">
        <f>SUM(H213,H222)</f>
        <v>75000</v>
      </c>
      <c r="I195" s="40">
        <f>SUM(I213,I222)</f>
        <v>75000</v>
      </c>
      <c r="J195" s="40">
        <f>SUM(J213,J222)</f>
        <v>75000</v>
      </c>
      <c r="K195" s="40">
        <f>SUM(K213,K222)</f>
        <v>75000</v>
      </c>
      <c r="L195" s="210" t="s">
        <v>545</v>
      </c>
    </row>
    <row r="196" spans="1:12" ht="21">
      <c r="A196" s="9"/>
      <c r="B196" s="11" t="s">
        <v>13</v>
      </c>
      <c r="C196" s="12">
        <v>3</v>
      </c>
      <c r="D196" s="13"/>
      <c r="E196" s="13"/>
      <c r="F196" s="166">
        <f>12779761.57575/30</f>
        <v>425992.052525</v>
      </c>
      <c r="G196" s="40">
        <f aca="true" t="shared" si="0" ref="G196:K200">SUM(G214,G223)</f>
        <v>350000</v>
      </c>
      <c r="H196" s="40">
        <f t="shared" si="0"/>
        <v>350000</v>
      </c>
      <c r="I196" s="40">
        <f t="shared" si="0"/>
        <v>350000</v>
      </c>
      <c r="J196" s="40">
        <f t="shared" si="0"/>
        <v>350000</v>
      </c>
      <c r="K196" s="40">
        <f t="shared" si="0"/>
        <v>350000</v>
      </c>
      <c r="L196" s="210" t="s">
        <v>545</v>
      </c>
    </row>
    <row r="197" spans="1:12" ht="21">
      <c r="A197" s="9"/>
      <c r="B197" s="11" t="s">
        <v>15</v>
      </c>
      <c r="C197" s="12">
        <v>3</v>
      </c>
      <c r="D197" s="13"/>
      <c r="E197" s="13"/>
      <c r="F197" s="166">
        <f>5099507.58031667/22</f>
        <v>231795.7991053032</v>
      </c>
      <c r="G197" s="40">
        <f t="shared" si="0"/>
        <v>80000</v>
      </c>
      <c r="H197" s="40">
        <f t="shared" si="0"/>
        <v>80000</v>
      </c>
      <c r="I197" s="40">
        <f t="shared" si="0"/>
        <v>80000</v>
      </c>
      <c r="J197" s="40">
        <f t="shared" si="0"/>
        <v>80000</v>
      </c>
      <c r="K197" s="40">
        <f t="shared" si="0"/>
        <v>80000</v>
      </c>
      <c r="L197" s="210" t="s">
        <v>545</v>
      </c>
    </row>
    <row r="198" spans="1:11" ht="21">
      <c r="A198" s="9"/>
      <c r="B198" s="11" t="s">
        <v>16</v>
      </c>
      <c r="C198" s="12">
        <v>3</v>
      </c>
      <c r="D198" s="166">
        <v>173152</v>
      </c>
      <c r="E198" s="13"/>
      <c r="F198" s="166">
        <f>1865566.88604011/20</f>
        <v>93278.3443020055</v>
      </c>
      <c r="G198" s="111">
        <v>80000</v>
      </c>
      <c r="H198" s="111">
        <v>80000</v>
      </c>
      <c r="I198" s="111">
        <v>80000</v>
      </c>
      <c r="J198" s="111">
        <v>100000</v>
      </c>
      <c r="K198" s="111">
        <v>100000</v>
      </c>
    </row>
    <row r="199" spans="1:11" ht="21">
      <c r="A199" s="9"/>
      <c r="B199" s="11" t="s">
        <v>17</v>
      </c>
      <c r="C199" s="12">
        <v>3</v>
      </c>
      <c r="D199" s="13"/>
      <c r="E199" s="13"/>
      <c r="F199" s="166">
        <f>6568323.0016/14</f>
        <v>469165.9286857143</v>
      </c>
      <c r="G199" s="40">
        <f t="shared" si="0"/>
        <v>200000</v>
      </c>
      <c r="H199" s="40">
        <f t="shared" si="0"/>
        <v>200000</v>
      </c>
      <c r="I199" s="40">
        <f t="shared" si="0"/>
        <v>200000</v>
      </c>
      <c r="J199" s="40">
        <f t="shared" si="0"/>
        <v>200000</v>
      </c>
      <c r="K199" s="40">
        <f t="shared" si="0"/>
        <v>200000</v>
      </c>
    </row>
    <row r="200" spans="1:11" ht="21">
      <c r="A200" s="9"/>
      <c r="B200" s="11" t="s">
        <v>18</v>
      </c>
      <c r="C200" s="12">
        <v>3</v>
      </c>
      <c r="D200" s="13"/>
      <c r="E200" s="13"/>
      <c r="F200" s="166">
        <f>6856686.80073333/11</f>
        <v>623335.16370303</v>
      </c>
      <c r="G200" s="40">
        <f t="shared" si="0"/>
        <v>220000</v>
      </c>
      <c r="H200" s="40">
        <f t="shared" si="0"/>
        <v>220000</v>
      </c>
      <c r="I200" s="40">
        <f t="shared" si="0"/>
        <v>220000</v>
      </c>
      <c r="J200" s="40">
        <f t="shared" si="0"/>
        <v>220000</v>
      </c>
      <c r="K200" s="40">
        <f t="shared" si="0"/>
        <v>220000</v>
      </c>
    </row>
    <row r="201" spans="1:11" ht="21">
      <c r="A201" s="4"/>
      <c r="B201" s="17" t="s">
        <v>35</v>
      </c>
      <c r="C201" s="6">
        <v>3</v>
      </c>
      <c r="D201" s="166" t="s">
        <v>119</v>
      </c>
      <c r="E201" s="173">
        <v>406170.1111111111</v>
      </c>
      <c r="F201" s="166">
        <f>5749609.19359048/30</f>
        <v>191653.63978634932</v>
      </c>
      <c r="G201" s="111">
        <v>150000</v>
      </c>
      <c r="H201" s="111">
        <v>160000</v>
      </c>
      <c r="I201" s="111">
        <v>170000</v>
      </c>
      <c r="J201" s="111">
        <v>180000</v>
      </c>
      <c r="K201" s="111">
        <v>190000</v>
      </c>
    </row>
    <row r="202" spans="1:11" ht="21">
      <c r="A202" s="77" t="s">
        <v>151</v>
      </c>
      <c r="B202" s="259" t="s">
        <v>152</v>
      </c>
      <c r="C202" s="260"/>
      <c r="D202" s="260"/>
      <c r="E202" s="260"/>
      <c r="F202" s="260"/>
      <c r="G202" s="260"/>
      <c r="H202" s="260"/>
      <c r="I202" s="260"/>
      <c r="J202" s="260"/>
      <c r="K202" s="260"/>
    </row>
    <row r="203" spans="1:11" ht="21">
      <c r="A203" s="9"/>
      <c r="B203" s="5" t="s">
        <v>8</v>
      </c>
      <c r="C203" s="6">
        <v>3</v>
      </c>
      <c r="D203" s="26">
        <v>82.34666666666666</v>
      </c>
      <c r="E203" s="26">
        <v>112.16666666666666</v>
      </c>
      <c r="F203" s="26">
        <f>(240.26+2)/152*100</f>
        <v>159.3815789473684</v>
      </c>
      <c r="G203" s="8">
        <v>110</v>
      </c>
      <c r="H203" s="78">
        <v>120</v>
      </c>
      <c r="I203" s="78">
        <v>130</v>
      </c>
      <c r="J203" s="78">
        <v>140</v>
      </c>
      <c r="K203" s="78">
        <v>150</v>
      </c>
    </row>
    <row r="204" spans="1:11" ht="21">
      <c r="A204" s="9"/>
      <c r="B204" s="11" t="s">
        <v>11</v>
      </c>
      <c r="C204" s="12">
        <v>3</v>
      </c>
      <c r="D204" s="213">
        <f>38.05/26*100</f>
        <v>146.34615384615384</v>
      </c>
      <c r="E204" s="214">
        <f>28.4/25*100</f>
        <v>113.6</v>
      </c>
      <c r="F204" s="41">
        <v>182.56</v>
      </c>
      <c r="G204" s="14">
        <v>100</v>
      </c>
      <c r="H204" s="79">
        <v>100</v>
      </c>
      <c r="I204" s="79">
        <v>100</v>
      </c>
      <c r="J204" s="79">
        <v>100</v>
      </c>
      <c r="K204" s="80" t="s">
        <v>98</v>
      </c>
    </row>
    <row r="205" spans="1:11" ht="21">
      <c r="A205" s="9"/>
      <c r="B205" s="11" t="s">
        <v>13</v>
      </c>
      <c r="C205" s="12">
        <v>3</v>
      </c>
      <c r="D205" s="213">
        <f>18.54/27*100</f>
        <v>68.66666666666667</v>
      </c>
      <c r="E205" s="214">
        <f>24.15/26*100</f>
        <v>92.88461538461537</v>
      </c>
      <c r="F205" s="41">
        <f>(25.63+1)/30*100</f>
        <v>88.76666666666667</v>
      </c>
      <c r="G205" s="102">
        <v>90</v>
      </c>
      <c r="H205" s="102">
        <v>90</v>
      </c>
      <c r="I205" s="102">
        <v>100</v>
      </c>
      <c r="J205" s="102">
        <v>100</v>
      </c>
      <c r="K205" s="103" t="s">
        <v>549</v>
      </c>
    </row>
    <row r="206" spans="1:11" s="187" customFormat="1" ht="21">
      <c r="A206" s="180"/>
      <c r="B206" s="181" t="s">
        <v>15</v>
      </c>
      <c r="C206" s="182">
        <v>3</v>
      </c>
      <c r="D206" s="200">
        <f>13.05/22*100</f>
        <v>59.31818181818183</v>
      </c>
      <c r="E206" s="195">
        <f>17.7/20.5*100</f>
        <v>86.34146341463415</v>
      </c>
      <c r="F206" s="201">
        <v>147.36363636363637</v>
      </c>
      <c r="G206" s="185">
        <v>130</v>
      </c>
      <c r="H206" s="185">
        <v>140</v>
      </c>
      <c r="I206" s="185">
        <v>150</v>
      </c>
      <c r="J206" s="185">
        <v>150</v>
      </c>
      <c r="K206" s="186" t="s">
        <v>153</v>
      </c>
    </row>
    <row r="207" spans="1:11" ht="21">
      <c r="A207" s="9"/>
      <c r="B207" s="11" t="s">
        <v>16</v>
      </c>
      <c r="C207" s="12">
        <v>3</v>
      </c>
      <c r="D207" s="173">
        <f>1.9/23*100</f>
        <v>8.26086956521739</v>
      </c>
      <c r="E207" s="171">
        <f>21.1/24*100</f>
        <v>87.91666666666667</v>
      </c>
      <c r="F207" s="41">
        <v>184.4</v>
      </c>
      <c r="G207" s="102">
        <v>100</v>
      </c>
      <c r="H207" s="102">
        <v>110</v>
      </c>
      <c r="I207" s="102">
        <v>120</v>
      </c>
      <c r="J207" s="102">
        <v>130</v>
      </c>
      <c r="K207" s="103" t="s">
        <v>555</v>
      </c>
    </row>
    <row r="208" spans="1:11" ht="21">
      <c r="A208" s="9"/>
      <c r="B208" s="11" t="s">
        <v>17</v>
      </c>
      <c r="C208" s="12">
        <v>3</v>
      </c>
      <c r="D208" s="213">
        <f>27.1/15*100</f>
        <v>180.66666666666669</v>
      </c>
      <c r="E208" s="161">
        <f>36/15*100</f>
        <v>240</v>
      </c>
      <c r="F208" s="41">
        <f>(37.31+1)/14*100</f>
        <v>273.64285714285717</v>
      </c>
      <c r="G208" s="14">
        <v>190</v>
      </c>
      <c r="H208" s="79">
        <v>190</v>
      </c>
      <c r="I208" s="79">
        <v>190</v>
      </c>
      <c r="J208" s="79">
        <v>190</v>
      </c>
      <c r="K208" s="79">
        <v>190</v>
      </c>
    </row>
    <row r="209" spans="1:11" ht="21">
      <c r="A209" s="9"/>
      <c r="B209" s="11" t="s">
        <v>18</v>
      </c>
      <c r="C209" s="12">
        <v>3</v>
      </c>
      <c r="D209" s="213">
        <f>20.08/10*100</f>
        <v>200.8</v>
      </c>
      <c r="E209" s="161">
        <f>33/10.5*100</f>
        <v>314.2857142857143</v>
      </c>
      <c r="F209" s="41">
        <v>407.18181818181813</v>
      </c>
      <c r="G209" s="14">
        <v>130</v>
      </c>
      <c r="H209" s="79">
        <v>130</v>
      </c>
      <c r="I209" s="79">
        <v>130</v>
      </c>
      <c r="J209" s="79">
        <v>150</v>
      </c>
      <c r="K209" s="80" t="s">
        <v>153</v>
      </c>
    </row>
    <row r="210" spans="1:11" ht="21">
      <c r="A210" s="4"/>
      <c r="B210" s="17" t="s">
        <v>35</v>
      </c>
      <c r="C210" s="6">
        <v>3</v>
      </c>
      <c r="D210" s="173">
        <f>4.8/27*100</f>
        <v>17.77777777777778</v>
      </c>
      <c r="E210" s="171">
        <f>8/29*100</f>
        <v>27.586206896551722</v>
      </c>
      <c r="F210" s="26">
        <v>58.64</v>
      </c>
      <c r="G210" s="8">
        <v>65</v>
      </c>
      <c r="H210" s="78">
        <v>65</v>
      </c>
      <c r="I210" s="240">
        <v>70</v>
      </c>
      <c r="J210" s="240">
        <v>70</v>
      </c>
      <c r="K210" s="240">
        <v>70</v>
      </c>
    </row>
    <row r="211" spans="1:11" ht="21">
      <c r="A211" s="108" t="s">
        <v>154</v>
      </c>
      <c r="B211" s="257" t="s">
        <v>155</v>
      </c>
      <c r="C211" s="258"/>
      <c r="D211" s="258"/>
      <c r="E211" s="258"/>
      <c r="F211" s="258"/>
      <c r="G211" s="258"/>
      <c r="H211" s="258"/>
      <c r="I211" s="258"/>
      <c r="J211" s="258"/>
      <c r="K211" s="258"/>
    </row>
    <row r="212" spans="1:11" ht="21" customHeight="1">
      <c r="A212" s="9"/>
      <c r="B212" s="5" t="s">
        <v>8</v>
      </c>
      <c r="C212" s="6">
        <v>3</v>
      </c>
      <c r="D212" s="35">
        <v>76094.16040000001</v>
      </c>
      <c r="E212" s="35">
        <v>71389.3256</v>
      </c>
      <c r="F212" s="35">
        <v>79517.95210526316</v>
      </c>
      <c r="G212" s="31">
        <v>75000</v>
      </c>
      <c r="H212" s="88">
        <v>80000</v>
      </c>
      <c r="I212" s="88">
        <v>85000</v>
      </c>
      <c r="J212" s="88">
        <v>90000</v>
      </c>
      <c r="K212" s="88">
        <v>95000</v>
      </c>
    </row>
    <row r="213" spans="1:12" ht="21">
      <c r="A213" s="9"/>
      <c r="B213" s="11" t="s">
        <v>11</v>
      </c>
      <c r="C213" s="12">
        <v>3</v>
      </c>
      <c r="D213" s="43"/>
      <c r="E213" s="43"/>
      <c r="F213" s="166">
        <f>1521834.35795833/25</f>
        <v>60873.374318333204</v>
      </c>
      <c r="G213" s="40">
        <v>30000</v>
      </c>
      <c r="H213" s="90">
        <v>25000</v>
      </c>
      <c r="I213" s="90">
        <v>25000</v>
      </c>
      <c r="J213" s="90">
        <v>25000</v>
      </c>
      <c r="K213" s="90">
        <v>25000</v>
      </c>
      <c r="L213" s="210" t="s">
        <v>545</v>
      </c>
    </row>
    <row r="214" spans="1:12" ht="21">
      <c r="A214" s="9"/>
      <c r="B214" s="11" t="s">
        <v>13</v>
      </c>
      <c r="C214" s="12">
        <v>3</v>
      </c>
      <c r="D214" s="43"/>
      <c r="E214" s="43"/>
      <c r="F214" s="166">
        <f>2124714.59575/30</f>
        <v>70823.81985833333</v>
      </c>
      <c r="G214" s="40">
        <v>50000</v>
      </c>
      <c r="H214" s="90">
        <v>50000</v>
      </c>
      <c r="I214" s="90">
        <v>45000</v>
      </c>
      <c r="J214" s="90">
        <v>45000</v>
      </c>
      <c r="K214" s="90">
        <v>40000</v>
      </c>
      <c r="L214" s="210" t="s">
        <v>545</v>
      </c>
    </row>
    <row r="215" spans="1:11" s="187" customFormat="1" ht="21">
      <c r="A215" s="180"/>
      <c r="B215" s="181" t="s">
        <v>15</v>
      </c>
      <c r="C215" s="182">
        <v>3</v>
      </c>
      <c r="D215" s="202"/>
      <c r="E215" s="203" t="s">
        <v>21</v>
      </c>
      <c r="F215" s="204">
        <f>1040243.41365/22</f>
        <v>47283.79152954545</v>
      </c>
      <c r="G215" s="205">
        <v>30000</v>
      </c>
      <c r="H215" s="205">
        <v>30000</v>
      </c>
      <c r="I215" s="205">
        <v>30000</v>
      </c>
      <c r="J215" s="205">
        <v>30000</v>
      </c>
      <c r="K215" s="205">
        <v>30000</v>
      </c>
    </row>
    <row r="216" spans="1:11" ht="21">
      <c r="A216" s="9"/>
      <c r="B216" s="11" t="s">
        <v>16</v>
      </c>
      <c r="C216" s="12">
        <v>3</v>
      </c>
      <c r="D216" s="166">
        <v>27860</v>
      </c>
      <c r="E216" s="43"/>
      <c r="F216" s="166">
        <f>1352785.99715122/20</f>
        <v>67639.299857561</v>
      </c>
      <c r="G216" s="40">
        <v>40000</v>
      </c>
      <c r="H216" s="90">
        <v>40000</v>
      </c>
      <c r="I216" s="90">
        <v>40000</v>
      </c>
      <c r="J216" s="228">
        <v>50000</v>
      </c>
      <c r="K216" s="228">
        <v>50000</v>
      </c>
    </row>
    <row r="217" spans="1:11" ht="21">
      <c r="A217" s="9"/>
      <c r="B217" s="11" t="s">
        <v>17</v>
      </c>
      <c r="C217" s="12">
        <v>3</v>
      </c>
      <c r="D217" s="43"/>
      <c r="E217" s="178">
        <v>53659.5625</v>
      </c>
      <c r="F217" s="178">
        <f>3140561.5016/14</f>
        <v>224325.82154285716</v>
      </c>
      <c r="G217" s="40">
        <v>80000</v>
      </c>
      <c r="H217" s="90">
        <v>80000</v>
      </c>
      <c r="I217" s="90">
        <v>80000</v>
      </c>
      <c r="J217" s="90">
        <v>80000</v>
      </c>
      <c r="K217" s="90">
        <v>80000</v>
      </c>
    </row>
    <row r="218" spans="1:11" ht="21">
      <c r="A218" s="9"/>
      <c r="B218" s="11" t="s">
        <v>18</v>
      </c>
      <c r="C218" s="12">
        <v>3</v>
      </c>
      <c r="D218" s="43"/>
      <c r="E218" s="178">
        <v>76094.16</v>
      </c>
      <c r="F218" s="166">
        <f>963170.1374/11</f>
        <v>87560.92158181818</v>
      </c>
      <c r="G218" s="40">
        <v>70000</v>
      </c>
      <c r="H218" s="90">
        <v>70000</v>
      </c>
      <c r="I218" s="90">
        <v>70000</v>
      </c>
      <c r="J218" s="90">
        <v>70000</v>
      </c>
      <c r="K218" s="90">
        <v>70000</v>
      </c>
    </row>
    <row r="219" spans="1:11" ht="21">
      <c r="A219" s="4"/>
      <c r="B219" s="17" t="s">
        <v>35</v>
      </c>
      <c r="C219" s="6">
        <v>3</v>
      </c>
      <c r="D219" s="166" t="s">
        <v>119</v>
      </c>
      <c r="E219" s="166" t="s">
        <v>119</v>
      </c>
      <c r="F219" s="166">
        <f>1943418.7174/30</f>
        <v>64780.62391333333</v>
      </c>
      <c r="G219" s="241">
        <v>30000</v>
      </c>
      <c r="H219" s="241">
        <v>35000</v>
      </c>
      <c r="I219" s="241">
        <v>40000</v>
      </c>
      <c r="J219" s="241">
        <v>45000</v>
      </c>
      <c r="K219" s="241">
        <v>50000</v>
      </c>
    </row>
    <row r="220" spans="1:11" ht="21">
      <c r="A220" s="108" t="s">
        <v>156</v>
      </c>
      <c r="B220" s="257" t="s">
        <v>157</v>
      </c>
      <c r="C220" s="258"/>
      <c r="D220" s="258"/>
      <c r="E220" s="258"/>
      <c r="F220" s="258"/>
      <c r="G220" s="258"/>
      <c r="H220" s="258"/>
      <c r="I220" s="258"/>
      <c r="J220" s="258"/>
      <c r="K220" s="258"/>
    </row>
    <row r="221" spans="1:11" ht="21" customHeight="1">
      <c r="A221" s="9"/>
      <c r="B221" s="5" t="s">
        <v>8</v>
      </c>
      <c r="C221" s="6">
        <v>3</v>
      </c>
      <c r="D221" s="35">
        <v>279467.9005333333</v>
      </c>
      <c r="E221" s="35">
        <v>266099.8272666667</v>
      </c>
      <c r="F221" s="35">
        <v>192917.61407894737</v>
      </c>
      <c r="G221" s="31">
        <v>200000</v>
      </c>
      <c r="H221" s="88">
        <v>200000</v>
      </c>
      <c r="I221" s="88">
        <v>200000</v>
      </c>
      <c r="J221" s="88">
        <v>230000</v>
      </c>
      <c r="K221" s="88">
        <v>230000</v>
      </c>
    </row>
    <row r="222" spans="1:12" ht="21">
      <c r="A222" s="9"/>
      <c r="B222" s="11" t="s">
        <v>11</v>
      </c>
      <c r="C222" s="12">
        <v>3</v>
      </c>
      <c r="D222" s="43"/>
      <c r="E222" s="43"/>
      <c r="F222" s="166">
        <f>968916.666666667/25</f>
        <v>38756.66666666668</v>
      </c>
      <c r="G222" s="40">
        <v>50000</v>
      </c>
      <c r="H222" s="90">
        <v>50000</v>
      </c>
      <c r="I222" s="90">
        <v>50000</v>
      </c>
      <c r="J222" s="90">
        <v>50000</v>
      </c>
      <c r="K222" s="90">
        <v>50000</v>
      </c>
      <c r="L222" s="210" t="s">
        <v>545</v>
      </c>
    </row>
    <row r="223" spans="1:12" ht="21">
      <c r="A223" s="9"/>
      <c r="B223" s="11" t="s">
        <v>13</v>
      </c>
      <c r="C223" s="12">
        <v>3</v>
      </c>
      <c r="D223" s="43"/>
      <c r="E223" s="43"/>
      <c r="F223" s="166">
        <f>10655046.98/30</f>
        <v>355168.2326666667</v>
      </c>
      <c r="G223" s="40">
        <v>300000</v>
      </c>
      <c r="H223" s="90">
        <v>300000</v>
      </c>
      <c r="I223" s="90">
        <v>305000</v>
      </c>
      <c r="J223" s="90">
        <v>305000</v>
      </c>
      <c r="K223" s="90">
        <v>310000</v>
      </c>
      <c r="L223" s="210" t="s">
        <v>545</v>
      </c>
    </row>
    <row r="224" spans="1:12" ht="21">
      <c r="A224" s="9"/>
      <c r="B224" s="11" t="s">
        <v>15</v>
      </c>
      <c r="C224" s="12">
        <v>3</v>
      </c>
      <c r="D224" s="43"/>
      <c r="E224" s="178" t="s">
        <v>21</v>
      </c>
      <c r="F224" s="178">
        <f>4059264.16666667/22</f>
        <v>184512.0075757577</v>
      </c>
      <c r="G224" s="40">
        <v>50000</v>
      </c>
      <c r="H224" s="90">
        <v>50000</v>
      </c>
      <c r="I224" s="90">
        <v>50000</v>
      </c>
      <c r="J224" s="90">
        <v>50000</v>
      </c>
      <c r="K224" s="90">
        <v>50000</v>
      </c>
      <c r="L224" s="210" t="s">
        <v>545</v>
      </c>
    </row>
    <row r="225" spans="1:11" ht="21">
      <c r="A225" s="9"/>
      <c r="B225" s="11" t="s">
        <v>16</v>
      </c>
      <c r="C225" s="12">
        <v>3</v>
      </c>
      <c r="D225" s="166">
        <v>145292</v>
      </c>
      <c r="E225" s="43"/>
      <c r="F225" s="166">
        <f>512780.888888889/20</f>
        <v>25639.04444444445</v>
      </c>
      <c r="G225" s="111">
        <v>40000</v>
      </c>
      <c r="H225" s="111">
        <v>40000</v>
      </c>
      <c r="I225" s="111">
        <v>40000</v>
      </c>
      <c r="J225" s="90">
        <v>50000</v>
      </c>
      <c r="K225" s="90">
        <v>50000</v>
      </c>
    </row>
    <row r="226" spans="1:11" ht="21">
      <c r="A226" s="9"/>
      <c r="B226" s="11" t="s">
        <v>17</v>
      </c>
      <c r="C226" s="12">
        <v>3</v>
      </c>
      <c r="D226" s="43"/>
      <c r="E226" s="178">
        <v>132827.125</v>
      </c>
      <c r="F226" s="178">
        <f>3427761.5/14</f>
        <v>244840.10714285713</v>
      </c>
      <c r="G226" s="40">
        <v>120000</v>
      </c>
      <c r="H226" s="90">
        <v>120000</v>
      </c>
      <c r="I226" s="90">
        <v>120000</v>
      </c>
      <c r="J226" s="90">
        <v>120000</v>
      </c>
      <c r="K226" s="90">
        <v>120000</v>
      </c>
    </row>
    <row r="227" spans="1:11" ht="21">
      <c r="A227" s="9"/>
      <c r="B227" s="11" t="s">
        <v>18</v>
      </c>
      <c r="C227" s="12">
        <v>3</v>
      </c>
      <c r="D227" s="43"/>
      <c r="E227" s="178">
        <v>279467.9</v>
      </c>
      <c r="F227" s="166">
        <f>5893516.66333333/11</f>
        <v>535774.2421212118</v>
      </c>
      <c r="G227" s="40">
        <v>150000</v>
      </c>
      <c r="H227" s="90">
        <v>150000</v>
      </c>
      <c r="I227" s="90">
        <v>150000</v>
      </c>
      <c r="J227" s="90">
        <v>150000</v>
      </c>
      <c r="K227" s="90">
        <v>150000</v>
      </c>
    </row>
    <row r="228" spans="1:11" ht="21">
      <c r="A228" s="4"/>
      <c r="B228" s="17" t="s">
        <v>35</v>
      </c>
      <c r="C228" s="6">
        <v>3</v>
      </c>
      <c r="D228" s="166" t="s">
        <v>119</v>
      </c>
      <c r="E228" s="166" t="s">
        <v>119</v>
      </c>
      <c r="F228" s="166">
        <f>3806190.47619048/30</f>
        <v>126873.015873016</v>
      </c>
      <c r="G228" s="31">
        <v>120000</v>
      </c>
      <c r="H228" s="242">
        <v>125000</v>
      </c>
      <c r="I228" s="242">
        <v>130000</v>
      </c>
      <c r="J228" s="242">
        <v>135000</v>
      </c>
      <c r="K228" s="242">
        <v>140000</v>
      </c>
    </row>
    <row r="229" spans="1:11" ht="21">
      <c r="A229" s="77" t="s">
        <v>158</v>
      </c>
      <c r="B229" s="253" t="s">
        <v>159</v>
      </c>
      <c r="C229" s="254"/>
      <c r="D229" s="254"/>
      <c r="E229" s="254"/>
      <c r="F229" s="254"/>
      <c r="G229" s="254"/>
      <c r="H229" s="254"/>
      <c r="I229" s="254"/>
      <c r="J229" s="254"/>
      <c r="K229" s="254"/>
    </row>
    <row r="230" spans="1:11" ht="21" customHeight="1">
      <c r="A230" s="9"/>
      <c r="B230" s="5" t="s">
        <v>8</v>
      </c>
      <c r="C230" s="6">
        <v>3</v>
      </c>
      <c r="D230" s="26">
        <v>40.666666666666664</v>
      </c>
      <c r="E230" s="26">
        <v>40.666666666666664</v>
      </c>
      <c r="F230" s="27">
        <v>75</v>
      </c>
      <c r="G230" s="8">
        <v>60</v>
      </c>
      <c r="H230" s="78">
        <v>60</v>
      </c>
      <c r="I230" s="78">
        <v>60</v>
      </c>
      <c r="J230" s="78">
        <v>60</v>
      </c>
      <c r="K230" s="78">
        <v>60</v>
      </c>
    </row>
    <row r="231" spans="1:11" ht="21">
      <c r="A231" s="9"/>
      <c r="B231" s="11" t="s">
        <v>11</v>
      </c>
      <c r="C231" s="12">
        <v>3</v>
      </c>
      <c r="D231" s="161">
        <v>73.077</v>
      </c>
      <c r="E231" s="214">
        <v>52</v>
      </c>
      <c r="F231" s="29">
        <v>68</v>
      </c>
      <c r="G231" s="14">
        <v>50</v>
      </c>
      <c r="H231" s="79">
        <v>50</v>
      </c>
      <c r="I231" s="79">
        <v>50</v>
      </c>
      <c r="J231" s="79">
        <v>50</v>
      </c>
      <c r="K231" s="79">
        <v>50</v>
      </c>
    </row>
    <row r="232" spans="1:11" ht="21">
      <c r="A232" s="9"/>
      <c r="B232" s="11" t="s">
        <v>13</v>
      </c>
      <c r="C232" s="12">
        <v>3</v>
      </c>
      <c r="D232" s="161">
        <v>14.815</v>
      </c>
      <c r="E232" s="141">
        <v>30.77</v>
      </c>
      <c r="F232" s="29">
        <v>70</v>
      </c>
      <c r="G232" s="14">
        <v>50</v>
      </c>
      <c r="H232" s="79">
        <v>50</v>
      </c>
      <c r="I232" s="79">
        <v>50</v>
      </c>
      <c r="J232" s="79">
        <v>50</v>
      </c>
      <c r="K232" s="80" t="s">
        <v>112</v>
      </c>
    </row>
    <row r="233" spans="1:11" ht="21">
      <c r="A233" s="9"/>
      <c r="B233" s="11" t="s">
        <v>15</v>
      </c>
      <c r="C233" s="12">
        <v>3</v>
      </c>
      <c r="D233" s="161">
        <v>22.727</v>
      </c>
      <c r="E233" s="209">
        <v>19.51</v>
      </c>
      <c r="F233" s="29">
        <v>45.45</v>
      </c>
      <c r="G233" s="14">
        <v>25</v>
      </c>
      <c r="H233" s="79">
        <v>25</v>
      </c>
      <c r="I233" s="79">
        <v>25</v>
      </c>
      <c r="J233" s="79">
        <v>25</v>
      </c>
      <c r="K233" s="80" t="s">
        <v>160</v>
      </c>
    </row>
    <row r="234" spans="1:11" ht="21">
      <c r="A234" s="9"/>
      <c r="B234" s="11" t="s">
        <v>16</v>
      </c>
      <c r="C234" s="12">
        <v>3</v>
      </c>
      <c r="D234" s="171">
        <v>56.522</v>
      </c>
      <c r="E234" s="173">
        <v>62.5</v>
      </c>
      <c r="F234" s="29">
        <v>100</v>
      </c>
      <c r="G234" s="14">
        <v>100</v>
      </c>
      <c r="H234" s="79">
        <v>100</v>
      </c>
      <c r="I234" s="79">
        <v>100</v>
      </c>
      <c r="J234" s="79">
        <v>100</v>
      </c>
      <c r="K234" s="80">
        <v>100</v>
      </c>
    </row>
    <row r="235" spans="1:11" ht="21">
      <c r="A235" s="9"/>
      <c r="B235" s="11" t="s">
        <v>17</v>
      </c>
      <c r="C235" s="12">
        <v>3</v>
      </c>
      <c r="D235" s="161">
        <v>40</v>
      </c>
      <c r="E235" s="209">
        <v>53.33</v>
      </c>
      <c r="F235" s="29">
        <v>100</v>
      </c>
      <c r="G235" s="14">
        <v>60</v>
      </c>
      <c r="H235" s="79">
        <v>60</v>
      </c>
      <c r="I235" s="79">
        <v>60</v>
      </c>
      <c r="J235" s="79">
        <v>60</v>
      </c>
      <c r="K235" s="79">
        <v>60</v>
      </c>
    </row>
    <row r="236" spans="1:11" ht="21">
      <c r="A236" s="9"/>
      <c r="B236" s="11" t="s">
        <v>18</v>
      </c>
      <c r="C236" s="12">
        <v>3</v>
      </c>
      <c r="D236" s="161">
        <v>30</v>
      </c>
      <c r="E236" s="209">
        <v>28.57</v>
      </c>
      <c r="F236" s="29">
        <v>100</v>
      </c>
      <c r="G236" s="14">
        <v>40</v>
      </c>
      <c r="H236" s="79">
        <v>40</v>
      </c>
      <c r="I236" s="79">
        <v>40</v>
      </c>
      <c r="J236" s="79">
        <v>40</v>
      </c>
      <c r="K236" s="80" t="s">
        <v>111</v>
      </c>
    </row>
    <row r="237" spans="1:11" ht="21">
      <c r="A237" s="4"/>
      <c r="B237" s="17" t="s">
        <v>35</v>
      </c>
      <c r="C237" s="6">
        <v>3</v>
      </c>
      <c r="D237" s="171">
        <v>40.741</v>
      </c>
      <c r="E237" s="177">
        <v>34.48</v>
      </c>
      <c r="F237" s="27">
        <v>70</v>
      </c>
      <c r="G237" s="8">
        <v>50</v>
      </c>
      <c r="H237" s="78">
        <v>50</v>
      </c>
      <c r="I237" s="78">
        <v>50</v>
      </c>
      <c r="J237" s="78">
        <v>50</v>
      </c>
      <c r="K237" s="78">
        <v>50</v>
      </c>
    </row>
    <row r="238" spans="1:11" ht="21">
      <c r="A238" s="77" t="s">
        <v>161</v>
      </c>
      <c r="B238" s="253" t="s">
        <v>162</v>
      </c>
      <c r="C238" s="254"/>
      <c r="D238" s="254"/>
      <c r="E238" s="254"/>
      <c r="F238" s="254"/>
      <c r="G238" s="254"/>
      <c r="H238" s="254"/>
      <c r="I238" s="254"/>
      <c r="J238" s="254"/>
      <c r="K238" s="254"/>
    </row>
    <row r="239" spans="1:11" ht="21" customHeight="1">
      <c r="A239" s="9"/>
      <c r="B239" s="5" t="s">
        <v>8</v>
      </c>
      <c r="C239" s="6">
        <v>3</v>
      </c>
      <c r="D239" s="26">
        <v>32</v>
      </c>
      <c r="E239" s="26">
        <v>38</v>
      </c>
      <c r="F239" s="26">
        <v>28.947368421052634</v>
      </c>
      <c r="G239" s="8">
        <v>40</v>
      </c>
      <c r="H239" s="78">
        <v>42</v>
      </c>
      <c r="I239" s="78">
        <v>45</v>
      </c>
      <c r="J239" s="78">
        <v>45</v>
      </c>
      <c r="K239" s="78">
        <v>45</v>
      </c>
    </row>
    <row r="240" spans="1:11" ht="21">
      <c r="A240" s="9"/>
      <c r="B240" s="11" t="s">
        <v>11</v>
      </c>
      <c r="C240" s="12">
        <v>3</v>
      </c>
      <c r="D240" s="161">
        <v>15.385</v>
      </c>
      <c r="E240" s="141">
        <v>12</v>
      </c>
      <c r="F240" s="41">
        <v>32</v>
      </c>
      <c r="G240" s="14">
        <v>30</v>
      </c>
      <c r="H240" s="79">
        <v>30</v>
      </c>
      <c r="I240" s="79">
        <v>30</v>
      </c>
      <c r="J240" s="79">
        <v>30</v>
      </c>
      <c r="K240" s="80" t="s">
        <v>163</v>
      </c>
    </row>
    <row r="241" spans="1:11" ht="21">
      <c r="A241" s="9"/>
      <c r="B241" s="11" t="s">
        <v>13</v>
      </c>
      <c r="C241" s="12">
        <v>3</v>
      </c>
      <c r="D241" s="161">
        <v>51.852</v>
      </c>
      <c r="E241" s="141">
        <v>61.54</v>
      </c>
      <c r="F241" s="41">
        <v>40</v>
      </c>
      <c r="G241" s="102">
        <v>45</v>
      </c>
      <c r="H241" s="102">
        <v>45</v>
      </c>
      <c r="I241" s="79">
        <v>50</v>
      </c>
      <c r="J241" s="79">
        <v>50</v>
      </c>
      <c r="K241" s="110" t="s">
        <v>113</v>
      </c>
    </row>
    <row r="242" spans="1:11" s="187" customFormat="1" ht="21">
      <c r="A242" s="180"/>
      <c r="B242" s="181" t="s">
        <v>15</v>
      </c>
      <c r="C242" s="182">
        <v>3</v>
      </c>
      <c r="D242" s="195">
        <v>27.273</v>
      </c>
      <c r="E242" s="184">
        <v>29.27</v>
      </c>
      <c r="F242" s="201">
        <v>13.64</v>
      </c>
      <c r="G242" s="185">
        <v>30</v>
      </c>
      <c r="H242" s="185">
        <v>30</v>
      </c>
      <c r="I242" s="185">
        <v>30</v>
      </c>
      <c r="J242" s="185">
        <v>30</v>
      </c>
      <c r="K242" s="186" t="s">
        <v>163</v>
      </c>
    </row>
    <row r="243" spans="1:11" ht="21">
      <c r="A243" s="9"/>
      <c r="B243" s="11" t="s">
        <v>16</v>
      </c>
      <c r="C243" s="12">
        <v>3</v>
      </c>
      <c r="D243" s="171">
        <v>8.6957</v>
      </c>
      <c r="E243" s="173">
        <v>16.67</v>
      </c>
      <c r="F243" s="41">
        <v>15</v>
      </c>
      <c r="G243" s="14">
        <v>25</v>
      </c>
      <c r="H243" s="79">
        <v>25</v>
      </c>
      <c r="I243" s="79">
        <v>25</v>
      </c>
      <c r="J243" s="79">
        <v>25</v>
      </c>
      <c r="K243" s="80">
        <v>25</v>
      </c>
    </row>
    <row r="244" spans="1:11" ht="21">
      <c r="A244" s="9"/>
      <c r="B244" s="11" t="s">
        <v>17</v>
      </c>
      <c r="C244" s="12">
        <v>3</v>
      </c>
      <c r="D244" s="161">
        <v>60</v>
      </c>
      <c r="E244" s="209">
        <v>66.67</v>
      </c>
      <c r="F244" s="41">
        <v>57.14</v>
      </c>
      <c r="G244" s="14">
        <v>55</v>
      </c>
      <c r="H244" s="79">
        <v>55</v>
      </c>
      <c r="I244" s="79">
        <v>55</v>
      </c>
      <c r="J244" s="79">
        <v>55</v>
      </c>
      <c r="K244" s="79">
        <v>55</v>
      </c>
    </row>
    <row r="245" spans="1:11" ht="21">
      <c r="A245" s="9"/>
      <c r="B245" s="11" t="s">
        <v>18</v>
      </c>
      <c r="C245" s="12">
        <v>3</v>
      </c>
      <c r="D245" s="161">
        <v>40</v>
      </c>
      <c r="E245" s="209">
        <v>104.76</v>
      </c>
      <c r="F245" s="41">
        <v>45.45</v>
      </c>
      <c r="G245" s="14">
        <v>60</v>
      </c>
      <c r="H245" s="79">
        <v>60</v>
      </c>
      <c r="I245" s="79">
        <v>60</v>
      </c>
      <c r="J245" s="79">
        <v>60</v>
      </c>
      <c r="K245" s="80" t="s">
        <v>164</v>
      </c>
    </row>
    <row r="246" spans="1:11" ht="21">
      <c r="A246" s="4"/>
      <c r="B246" s="17" t="s">
        <v>35</v>
      </c>
      <c r="C246" s="6">
        <v>3</v>
      </c>
      <c r="D246" s="171">
        <v>33.333</v>
      </c>
      <c r="E246" s="177">
        <v>24.14</v>
      </c>
      <c r="F246" s="26">
        <v>16.67</v>
      </c>
      <c r="G246" s="8">
        <v>50</v>
      </c>
      <c r="H246" s="78">
        <v>50</v>
      </c>
      <c r="I246" s="78">
        <v>50</v>
      </c>
      <c r="J246" s="78">
        <v>50</v>
      </c>
      <c r="K246" s="78">
        <v>50</v>
      </c>
    </row>
    <row r="247" spans="1:11" ht="21">
      <c r="A247" s="77" t="s">
        <v>165</v>
      </c>
      <c r="B247" s="253" t="s">
        <v>166</v>
      </c>
      <c r="C247" s="254"/>
      <c r="D247" s="254"/>
      <c r="E247" s="254"/>
      <c r="F247" s="254"/>
      <c r="G247" s="254"/>
      <c r="H247" s="254"/>
      <c r="I247" s="254"/>
      <c r="J247" s="254"/>
      <c r="K247" s="254"/>
    </row>
    <row r="248" spans="1:11" ht="21" customHeight="1">
      <c r="A248" s="9"/>
      <c r="B248" s="5" t="s">
        <v>8</v>
      </c>
      <c r="C248" s="6">
        <v>3</v>
      </c>
      <c r="D248" s="173">
        <v>2.96</v>
      </c>
      <c r="E248" s="173">
        <v>9.7</v>
      </c>
      <c r="F248" s="33">
        <v>7.14</v>
      </c>
      <c r="G248" s="8">
        <v>7</v>
      </c>
      <c r="H248" s="78">
        <v>8</v>
      </c>
      <c r="I248" s="78">
        <v>9</v>
      </c>
      <c r="J248" s="78">
        <v>10</v>
      </c>
      <c r="K248" s="78">
        <v>12</v>
      </c>
    </row>
    <row r="249" spans="1:11" ht="21">
      <c r="A249" s="9"/>
      <c r="B249" s="11" t="s">
        <v>11</v>
      </c>
      <c r="C249" s="12">
        <v>3</v>
      </c>
      <c r="D249" s="161">
        <f>0.1/26*100</f>
        <v>0.38461538461538464</v>
      </c>
      <c r="E249" s="13"/>
      <c r="F249" s="34">
        <v>6</v>
      </c>
      <c r="G249" s="14">
        <v>5</v>
      </c>
      <c r="H249" s="79">
        <v>8</v>
      </c>
      <c r="I249" s="79">
        <v>10</v>
      </c>
      <c r="J249" s="79">
        <v>10</v>
      </c>
      <c r="K249" s="80" t="s">
        <v>167</v>
      </c>
    </row>
    <row r="250" spans="1:11" ht="21">
      <c r="A250" s="9"/>
      <c r="B250" s="11" t="s">
        <v>13</v>
      </c>
      <c r="C250" s="12">
        <v>3</v>
      </c>
      <c r="D250" s="13"/>
      <c r="E250" s="179">
        <f>1.45/26*100</f>
        <v>5.576923076923077</v>
      </c>
      <c r="F250" s="34">
        <v>4.33</v>
      </c>
      <c r="G250" s="102">
        <v>5</v>
      </c>
      <c r="H250" s="102">
        <v>5</v>
      </c>
      <c r="I250" s="102">
        <v>5</v>
      </c>
      <c r="J250" s="102">
        <v>5</v>
      </c>
      <c r="K250" s="102">
        <v>5</v>
      </c>
    </row>
    <row r="251" spans="1:11" s="187" customFormat="1" ht="21">
      <c r="A251" s="180"/>
      <c r="B251" s="181" t="s">
        <v>15</v>
      </c>
      <c r="C251" s="182">
        <v>3</v>
      </c>
      <c r="D251" s="195">
        <f>1.5/22*100</f>
        <v>6.8181818181818175</v>
      </c>
      <c r="E251" s="206">
        <f>3.8/20.5*100</f>
        <v>18.536585365853657</v>
      </c>
      <c r="F251" s="198">
        <v>9.09</v>
      </c>
      <c r="G251" s="185">
        <v>10</v>
      </c>
      <c r="H251" s="185">
        <v>10</v>
      </c>
      <c r="I251" s="185">
        <v>10</v>
      </c>
      <c r="J251" s="185">
        <v>10</v>
      </c>
      <c r="K251" s="186" t="s">
        <v>167</v>
      </c>
    </row>
    <row r="252" spans="1:11" ht="21">
      <c r="A252" s="9"/>
      <c r="B252" s="11" t="s">
        <v>16</v>
      </c>
      <c r="C252" s="12">
        <v>3</v>
      </c>
      <c r="D252" s="13"/>
      <c r="E252" s="173">
        <f>4.1/24*100</f>
        <v>17.083333333333332</v>
      </c>
      <c r="F252" s="34">
        <v>1</v>
      </c>
      <c r="G252" s="102">
        <v>1.5</v>
      </c>
      <c r="H252" s="102">
        <v>1.6</v>
      </c>
      <c r="I252" s="102">
        <v>1.6</v>
      </c>
      <c r="J252" s="102">
        <v>1.7</v>
      </c>
      <c r="K252" s="103" t="s">
        <v>556</v>
      </c>
    </row>
    <row r="253" spans="1:11" ht="21">
      <c r="A253" s="159"/>
      <c r="B253" s="160" t="s">
        <v>17</v>
      </c>
      <c r="C253" s="238">
        <v>3</v>
      </c>
      <c r="D253" s="161">
        <f>0.7/15*100</f>
        <v>4.666666666666666</v>
      </c>
      <c r="E253" s="213">
        <f>2.95/15*100</f>
        <v>19.666666666666668</v>
      </c>
      <c r="F253" s="161">
        <v>17.5</v>
      </c>
      <c r="G253" s="105">
        <v>15</v>
      </c>
      <c r="H253" s="105">
        <v>15</v>
      </c>
      <c r="I253" s="105">
        <v>15</v>
      </c>
      <c r="J253" s="105">
        <v>15</v>
      </c>
      <c r="K253" s="105">
        <v>15</v>
      </c>
    </row>
    <row r="254" spans="1:11" ht="21">
      <c r="A254" s="9"/>
      <c r="B254" s="11" t="s">
        <v>18</v>
      </c>
      <c r="C254" s="12">
        <v>3</v>
      </c>
      <c r="D254" s="161">
        <f>2.15/10*100</f>
        <v>21.5</v>
      </c>
      <c r="E254" s="213">
        <f>2.3/10.5*100</f>
        <v>21.9047619047619</v>
      </c>
      <c r="F254" s="34">
        <v>30</v>
      </c>
      <c r="G254" s="14">
        <v>30</v>
      </c>
      <c r="H254" s="79">
        <v>30</v>
      </c>
      <c r="I254" s="79">
        <v>30</v>
      </c>
      <c r="J254" s="79">
        <v>30</v>
      </c>
      <c r="K254" s="80" t="s">
        <v>163</v>
      </c>
    </row>
    <row r="255" spans="1:11" ht="21">
      <c r="A255" s="4"/>
      <c r="B255" s="17" t="s">
        <v>35</v>
      </c>
      <c r="C255" s="6">
        <v>3</v>
      </c>
      <c r="D255" s="166" t="s">
        <v>119</v>
      </c>
      <c r="E255" s="166" t="s">
        <v>119</v>
      </c>
      <c r="F255" s="33">
        <v>0.33</v>
      </c>
      <c r="G255" s="8">
        <v>1</v>
      </c>
      <c r="H255" s="78">
        <v>1</v>
      </c>
      <c r="I255" s="78">
        <v>1</v>
      </c>
      <c r="J255" s="78">
        <v>1</v>
      </c>
      <c r="K255" s="84" t="s">
        <v>168</v>
      </c>
    </row>
    <row r="256" spans="1:11" ht="21">
      <c r="A256" s="77" t="s">
        <v>169</v>
      </c>
      <c r="B256" s="253" t="s">
        <v>170</v>
      </c>
      <c r="C256" s="254"/>
      <c r="D256" s="254"/>
      <c r="E256" s="254"/>
      <c r="F256" s="254"/>
      <c r="G256" s="254"/>
      <c r="H256" s="254"/>
      <c r="I256" s="254"/>
      <c r="J256" s="254"/>
      <c r="K256" s="254"/>
    </row>
    <row r="257" spans="1:11" ht="21" customHeight="1">
      <c r="A257" s="9"/>
      <c r="B257" s="5" t="s">
        <v>8</v>
      </c>
      <c r="C257" s="6">
        <v>3</v>
      </c>
      <c r="D257" s="7"/>
      <c r="E257" s="45">
        <v>64</v>
      </c>
      <c r="F257" s="45">
        <v>71</v>
      </c>
      <c r="G257" s="8">
        <v>70</v>
      </c>
      <c r="H257" s="88">
        <v>71</v>
      </c>
      <c r="I257" s="88">
        <v>72</v>
      </c>
      <c r="J257" s="88">
        <v>73</v>
      </c>
      <c r="K257" s="88">
        <v>75</v>
      </c>
    </row>
    <row r="258" spans="1:11" ht="21">
      <c r="A258" s="9"/>
      <c r="B258" s="11" t="s">
        <v>11</v>
      </c>
      <c r="C258" s="12">
        <v>3</v>
      </c>
      <c r="D258" s="13"/>
      <c r="E258" s="13"/>
      <c r="F258" s="13"/>
      <c r="G258" s="14">
        <v>55</v>
      </c>
      <c r="H258" s="79">
        <v>55</v>
      </c>
      <c r="I258" s="79">
        <v>55</v>
      </c>
      <c r="J258" s="79">
        <v>55</v>
      </c>
      <c r="K258" s="80" t="s">
        <v>113</v>
      </c>
    </row>
    <row r="259" spans="1:11" ht="21">
      <c r="A259" s="9"/>
      <c r="B259" s="11" t="s">
        <v>13</v>
      </c>
      <c r="C259" s="12">
        <v>3</v>
      </c>
      <c r="D259" s="13"/>
      <c r="E259" s="13"/>
      <c r="F259" s="13"/>
      <c r="G259" s="14">
        <v>65</v>
      </c>
      <c r="H259" s="79">
        <v>70</v>
      </c>
      <c r="I259" s="79">
        <v>70</v>
      </c>
      <c r="J259" s="79">
        <v>70</v>
      </c>
      <c r="K259" s="80" t="s">
        <v>140</v>
      </c>
    </row>
    <row r="260" spans="1:11" ht="21">
      <c r="A260" s="9"/>
      <c r="B260" s="11" t="s">
        <v>15</v>
      </c>
      <c r="C260" s="12">
        <v>3</v>
      </c>
      <c r="D260" s="13"/>
      <c r="E260" s="16">
        <v>39</v>
      </c>
      <c r="F260" s="16">
        <v>43</v>
      </c>
      <c r="G260" s="14">
        <v>50</v>
      </c>
      <c r="H260" s="79">
        <v>55</v>
      </c>
      <c r="I260" s="79">
        <v>60</v>
      </c>
      <c r="J260" s="79">
        <v>60</v>
      </c>
      <c r="K260" s="80" t="s">
        <v>164</v>
      </c>
    </row>
    <row r="261" spans="1:11" ht="21">
      <c r="A261" s="9"/>
      <c r="B261" s="11" t="s">
        <v>16</v>
      </c>
      <c r="C261" s="12">
        <v>3</v>
      </c>
      <c r="D261" s="13"/>
      <c r="E261" s="36"/>
      <c r="F261" s="36"/>
      <c r="G261" s="102">
        <v>90</v>
      </c>
      <c r="H261" s="102">
        <v>90</v>
      </c>
      <c r="I261" s="102">
        <v>90</v>
      </c>
      <c r="J261" s="102">
        <v>90</v>
      </c>
      <c r="K261" s="102">
        <v>90</v>
      </c>
    </row>
    <row r="262" spans="1:11" ht="21">
      <c r="A262" s="9"/>
      <c r="B262" s="11" t="s">
        <v>17</v>
      </c>
      <c r="C262" s="12">
        <v>3</v>
      </c>
      <c r="D262" s="13"/>
      <c r="E262" s="16">
        <v>93.75</v>
      </c>
      <c r="F262" s="16">
        <v>93.75</v>
      </c>
      <c r="G262" s="14">
        <v>95</v>
      </c>
      <c r="H262" s="79">
        <v>95</v>
      </c>
      <c r="I262" s="79">
        <v>95</v>
      </c>
      <c r="J262" s="79">
        <v>95</v>
      </c>
      <c r="K262" s="79">
        <v>95</v>
      </c>
    </row>
    <row r="263" spans="1:11" ht="21">
      <c r="A263" s="9"/>
      <c r="B263" s="11" t="s">
        <v>18</v>
      </c>
      <c r="C263" s="12">
        <v>3</v>
      </c>
      <c r="D263" s="13"/>
      <c r="E263" s="36"/>
      <c r="F263" s="36"/>
      <c r="G263" s="14">
        <v>70</v>
      </c>
      <c r="H263" s="79">
        <v>73</v>
      </c>
      <c r="I263" s="79">
        <v>75</v>
      </c>
      <c r="J263" s="79">
        <v>75</v>
      </c>
      <c r="K263" s="80" t="s">
        <v>171</v>
      </c>
    </row>
    <row r="264" spans="1:11" ht="21">
      <c r="A264" s="4"/>
      <c r="B264" s="17" t="s">
        <v>35</v>
      </c>
      <c r="C264" s="6">
        <v>3</v>
      </c>
      <c r="D264" s="35" t="s">
        <v>119</v>
      </c>
      <c r="E264" s="35" t="s">
        <v>119</v>
      </c>
      <c r="F264" s="33">
        <v>53.333333333333336</v>
      </c>
      <c r="G264" s="8">
        <v>60</v>
      </c>
      <c r="H264" s="78">
        <v>60</v>
      </c>
      <c r="I264" s="78">
        <v>60</v>
      </c>
      <c r="J264" s="78">
        <v>60</v>
      </c>
      <c r="K264" s="78">
        <v>60</v>
      </c>
    </row>
    <row r="265" spans="1:11" ht="21">
      <c r="A265" s="77" t="s">
        <v>172</v>
      </c>
      <c r="B265" s="253" t="s">
        <v>173</v>
      </c>
      <c r="C265" s="254"/>
      <c r="D265" s="254"/>
      <c r="E265" s="254"/>
      <c r="F265" s="254"/>
      <c r="G265" s="254"/>
      <c r="H265" s="254"/>
      <c r="I265" s="254"/>
      <c r="J265" s="254"/>
      <c r="K265" s="254"/>
    </row>
    <row r="266" spans="1:11" ht="21" customHeight="1">
      <c r="A266" s="9"/>
      <c r="B266" s="5" t="s">
        <v>8</v>
      </c>
      <c r="C266" s="6">
        <v>10</v>
      </c>
      <c r="D266" s="26">
        <v>18.452380952380953</v>
      </c>
      <c r="E266" s="26">
        <v>27.10843373493976</v>
      </c>
      <c r="F266" s="33">
        <v>25.443786982248522</v>
      </c>
      <c r="G266" s="8">
        <v>30</v>
      </c>
      <c r="H266" s="78">
        <v>32</v>
      </c>
      <c r="I266" s="78">
        <v>33</v>
      </c>
      <c r="J266" s="78">
        <v>33</v>
      </c>
      <c r="K266" s="78">
        <v>33</v>
      </c>
    </row>
    <row r="267" spans="1:11" ht="21">
      <c r="A267" s="9"/>
      <c r="B267" s="11" t="s">
        <v>11</v>
      </c>
      <c r="C267" s="12">
        <v>10</v>
      </c>
      <c r="D267" s="161">
        <f>3/27*100</f>
        <v>11.11111111111111</v>
      </c>
      <c r="E267" s="214">
        <f>8/26*100</f>
        <v>30.76923076923077</v>
      </c>
      <c r="F267" s="33">
        <f>7/26*100</f>
        <v>26.923076923076923</v>
      </c>
      <c r="G267" s="14">
        <v>20</v>
      </c>
      <c r="H267" s="79">
        <v>20</v>
      </c>
      <c r="I267" s="79">
        <v>20</v>
      </c>
      <c r="J267" s="79">
        <v>20</v>
      </c>
      <c r="K267" s="80" t="s">
        <v>174</v>
      </c>
    </row>
    <row r="268" spans="1:11" ht="21">
      <c r="A268" s="9"/>
      <c r="B268" s="11" t="s">
        <v>13</v>
      </c>
      <c r="C268" s="12">
        <v>10</v>
      </c>
      <c r="D268" s="161">
        <f>10/28*100</f>
        <v>35.714285714285715</v>
      </c>
      <c r="E268" s="214">
        <f>14/27/100</f>
        <v>0.005185185185185185</v>
      </c>
      <c r="F268" s="33">
        <v>23.333333333333332</v>
      </c>
      <c r="G268" s="102">
        <v>30</v>
      </c>
      <c r="H268" s="102">
        <v>35</v>
      </c>
      <c r="I268" s="102">
        <v>35</v>
      </c>
      <c r="J268" s="102">
        <v>40</v>
      </c>
      <c r="K268" s="103" t="s">
        <v>111</v>
      </c>
    </row>
    <row r="269" spans="1:11" s="187" customFormat="1" ht="21">
      <c r="A269" s="180"/>
      <c r="B269" s="181" t="s">
        <v>15</v>
      </c>
      <c r="C269" s="182">
        <v>10</v>
      </c>
      <c r="D269" s="195">
        <f>6/24*100</f>
        <v>25</v>
      </c>
      <c r="E269" s="207">
        <f>8/22.5*100</f>
        <v>35.55555555555556</v>
      </c>
      <c r="F269" s="199">
        <f>9/24*100</f>
        <v>37.5</v>
      </c>
      <c r="G269" s="185">
        <v>30</v>
      </c>
      <c r="H269" s="185">
        <v>32</v>
      </c>
      <c r="I269" s="185">
        <v>34</v>
      </c>
      <c r="J269" s="185">
        <v>34</v>
      </c>
      <c r="K269" s="186" t="s">
        <v>175</v>
      </c>
    </row>
    <row r="270" spans="1:11" ht="21">
      <c r="A270" s="9"/>
      <c r="B270" s="11" t="s">
        <v>16</v>
      </c>
      <c r="C270" s="12">
        <v>10</v>
      </c>
      <c r="D270" s="171">
        <f>2/24*100</f>
        <v>8.333333333333332</v>
      </c>
      <c r="E270" s="229">
        <f>1/24*100</f>
        <v>4.166666666666666</v>
      </c>
      <c r="F270" s="33">
        <f>3/21*100</f>
        <v>14.285714285714285</v>
      </c>
      <c r="G270" s="14">
        <v>10</v>
      </c>
      <c r="H270" s="79">
        <v>10</v>
      </c>
      <c r="I270" s="79">
        <v>10</v>
      </c>
      <c r="J270" s="79">
        <v>12</v>
      </c>
      <c r="K270" s="80" t="s">
        <v>127</v>
      </c>
    </row>
    <row r="271" spans="1:11" ht="21">
      <c r="A271" s="9"/>
      <c r="B271" s="11" t="s">
        <v>17</v>
      </c>
      <c r="C271" s="12">
        <v>10</v>
      </c>
      <c r="D271" s="161">
        <f>6/16*100</f>
        <v>37.5</v>
      </c>
      <c r="E271" s="214">
        <f>9/16*100</f>
        <v>56.25</v>
      </c>
      <c r="F271" s="41">
        <v>64.28571428571429</v>
      </c>
      <c r="G271" s="14">
        <v>40</v>
      </c>
      <c r="H271" s="79">
        <v>40</v>
      </c>
      <c r="I271" s="79">
        <v>40</v>
      </c>
      <c r="J271" s="79">
        <v>40</v>
      </c>
      <c r="K271" s="79">
        <v>40</v>
      </c>
    </row>
    <row r="272" spans="1:11" ht="21">
      <c r="A272" s="9"/>
      <c r="B272" s="11" t="s">
        <v>18</v>
      </c>
      <c r="C272" s="12">
        <v>10</v>
      </c>
      <c r="D272" s="161">
        <f>3/13*100</f>
        <v>23.076923076923077</v>
      </c>
      <c r="E272" s="214">
        <f>1/13.5*100</f>
        <v>7.4074074074074066</v>
      </c>
      <c r="F272" s="41">
        <f>3/14*100</f>
        <v>21.428571428571427</v>
      </c>
      <c r="G272" s="14">
        <v>10</v>
      </c>
      <c r="H272" s="79">
        <v>10</v>
      </c>
      <c r="I272" s="79">
        <v>10</v>
      </c>
      <c r="J272" s="79">
        <v>12</v>
      </c>
      <c r="K272" s="80" t="s">
        <v>176</v>
      </c>
    </row>
    <row r="273" spans="1:11" ht="21">
      <c r="A273" s="4"/>
      <c r="B273" s="17" t="s">
        <v>35</v>
      </c>
      <c r="C273" s="6">
        <v>10</v>
      </c>
      <c r="D273" s="171">
        <f>1/36*100</f>
        <v>2.7777777777777777</v>
      </c>
      <c r="E273" s="171">
        <f>4/37*100</f>
        <v>10.81081081081081</v>
      </c>
      <c r="F273" s="26">
        <f>5/40*100</f>
        <v>12.5</v>
      </c>
      <c r="G273" s="8">
        <v>15</v>
      </c>
      <c r="H273" s="78">
        <v>15</v>
      </c>
      <c r="I273" s="78">
        <v>15</v>
      </c>
      <c r="J273" s="78">
        <v>15</v>
      </c>
      <c r="K273" s="78">
        <v>15</v>
      </c>
    </row>
    <row r="274" spans="1:11" ht="21">
      <c r="A274" s="77" t="s">
        <v>177</v>
      </c>
      <c r="B274" s="253" t="s">
        <v>178</v>
      </c>
      <c r="C274" s="254"/>
      <c r="D274" s="254"/>
      <c r="E274" s="254"/>
      <c r="F274" s="254"/>
      <c r="G274" s="254"/>
      <c r="H274" s="254"/>
      <c r="I274" s="254"/>
      <c r="J274" s="254"/>
      <c r="K274" s="254"/>
    </row>
    <row r="275" spans="1:11" ht="21" customHeight="1">
      <c r="A275" s="18"/>
      <c r="B275" s="19" t="s">
        <v>8</v>
      </c>
      <c r="C275" s="20">
        <v>10</v>
      </c>
      <c r="D275" s="46">
        <v>2</v>
      </c>
      <c r="E275" s="46">
        <v>2</v>
      </c>
      <c r="F275" s="38">
        <v>5</v>
      </c>
      <c r="G275" s="22">
        <v>3</v>
      </c>
      <c r="H275" s="81">
        <v>3</v>
      </c>
      <c r="I275" s="81">
        <v>3</v>
      </c>
      <c r="J275" s="91">
        <v>4</v>
      </c>
      <c r="K275" s="91">
        <v>4</v>
      </c>
    </row>
    <row r="276" spans="1:11" ht="21">
      <c r="A276" s="82" t="s">
        <v>179</v>
      </c>
      <c r="B276" s="73"/>
      <c r="C276" s="74"/>
      <c r="D276" s="74"/>
      <c r="E276" s="23"/>
      <c r="F276" s="23"/>
      <c r="G276" s="23"/>
      <c r="H276" s="83"/>
      <c r="I276" s="83"/>
      <c r="J276" s="83"/>
      <c r="K276" s="83"/>
    </row>
    <row r="277" spans="1:11" ht="21">
      <c r="A277" s="77" t="s">
        <v>180</v>
      </c>
      <c r="B277" s="253" t="s">
        <v>181</v>
      </c>
      <c r="C277" s="254"/>
      <c r="D277" s="254"/>
      <c r="E277" s="254"/>
      <c r="F277" s="254"/>
      <c r="G277" s="254"/>
      <c r="H277" s="254"/>
      <c r="I277" s="254"/>
      <c r="J277" s="254"/>
      <c r="K277" s="254"/>
    </row>
    <row r="278" spans="1:11" ht="21" customHeight="1">
      <c r="A278" s="4"/>
      <c r="B278" s="5" t="s">
        <v>8</v>
      </c>
      <c r="C278" s="6">
        <v>2.5</v>
      </c>
      <c r="D278" s="7"/>
      <c r="E278" s="7"/>
      <c r="F278" s="7"/>
      <c r="G278" s="8">
        <v>6</v>
      </c>
      <c r="H278" s="78">
        <v>6</v>
      </c>
      <c r="I278" s="78">
        <v>7</v>
      </c>
      <c r="J278" s="78">
        <v>7</v>
      </c>
      <c r="K278" s="84" t="s">
        <v>34</v>
      </c>
    </row>
    <row r="279" spans="1:11" ht="21">
      <c r="A279" s="108" t="s">
        <v>182</v>
      </c>
      <c r="B279" s="255" t="s">
        <v>183</v>
      </c>
      <c r="C279" s="256"/>
      <c r="D279" s="256"/>
      <c r="E279" s="256"/>
      <c r="F279" s="256"/>
      <c r="G279" s="256"/>
      <c r="H279" s="256"/>
      <c r="I279" s="256"/>
      <c r="J279" s="256"/>
      <c r="K279" s="256"/>
    </row>
    <row r="280" spans="1:11" ht="21">
      <c r="A280" s="9"/>
      <c r="B280" s="5" t="s">
        <v>8</v>
      </c>
      <c r="C280" s="6">
        <v>2.5</v>
      </c>
      <c r="D280" s="26">
        <v>14.880952380952381</v>
      </c>
      <c r="E280" s="33">
        <v>20.481927710843372</v>
      </c>
      <c r="F280" s="33">
        <v>46.75</v>
      </c>
      <c r="G280" s="8">
        <v>25</v>
      </c>
      <c r="H280" s="78">
        <v>27</v>
      </c>
      <c r="I280" s="78">
        <v>30</v>
      </c>
      <c r="J280" s="78">
        <v>30</v>
      </c>
      <c r="K280" s="78">
        <v>30</v>
      </c>
    </row>
    <row r="281" spans="1:11" ht="21">
      <c r="A281" s="9"/>
      <c r="B281" s="11" t="s">
        <v>11</v>
      </c>
      <c r="C281" s="12">
        <v>2.5</v>
      </c>
      <c r="D281" s="161">
        <f>6/27*100</f>
        <v>22.22222222222222</v>
      </c>
      <c r="E281" s="215">
        <f>14/26*100</f>
        <v>53.84615384615385</v>
      </c>
      <c r="F281" s="16" t="s">
        <v>184</v>
      </c>
      <c r="G281" s="14">
        <v>40</v>
      </c>
      <c r="H281" s="79">
        <v>40</v>
      </c>
      <c r="I281" s="79">
        <v>40</v>
      </c>
      <c r="J281" s="79">
        <v>40</v>
      </c>
      <c r="K281" s="80" t="s">
        <v>111</v>
      </c>
    </row>
    <row r="282" spans="1:11" ht="21">
      <c r="A282" s="9"/>
      <c r="B282" s="11" t="s">
        <v>13</v>
      </c>
      <c r="C282" s="12">
        <v>2.5</v>
      </c>
      <c r="D282" s="161">
        <f>2/28*100</f>
        <v>7.142857142857142</v>
      </c>
      <c r="E282" s="13"/>
      <c r="F282" s="16" t="s">
        <v>185</v>
      </c>
      <c r="G282" s="14">
        <v>25</v>
      </c>
      <c r="H282" s="79">
        <v>25</v>
      </c>
      <c r="I282" s="79">
        <v>25</v>
      </c>
      <c r="J282" s="79">
        <v>25</v>
      </c>
      <c r="K282" s="80" t="s">
        <v>160</v>
      </c>
    </row>
    <row r="283" spans="1:11" s="187" customFormat="1" ht="21">
      <c r="A283" s="180"/>
      <c r="B283" s="181" t="s">
        <v>15</v>
      </c>
      <c r="C283" s="182">
        <v>2.5</v>
      </c>
      <c r="D283" s="195">
        <f>5/24*100</f>
        <v>20.833333333333336</v>
      </c>
      <c r="E283" s="208">
        <f>10/22.5*100</f>
        <v>44.44444444444444</v>
      </c>
      <c r="F283" s="197" t="s">
        <v>186</v>
      </c>
      <c r="G283" s="185">
        <v>35</v>
      </c>
      <c r="H283" s="185">
        <v>35</v>
      </c>
      <c r="I283" s="185">
        <v>35</v>
      </c>
      <c r="J283" s="185">
        <v>35</v>
      </c>
      <c r="K283" s="186" t="s">
        <v>187</v>
      </c>
    </row>
    <row r="284" spans="1:11" ht="21">
      <c r="A284" s="9"/>
      <c r="B284" s="11" t="s">
        <v>16</v>
      </c>
      <c r="C284" s="12">
        <v>2.5</v>
      </c>
      <c r="D284" s="171">
        <f>2/24*100</f>
        <v>8.333333333333332</v>
      </c>
      <c r="E284" s="13"/>
      <c r="F284" s="34">
        <f>5/21*100</f>
        <v>23.809523809523807</v>
      </c>
      <c r="G284" s="14">
        <v>30</v>
      </c>
      <c r="H284" s="79">
        <v>30</v>
      </c>
      <c r="I284" s="79">
        <v>30</v>
      </c>
      <c r="J284" s="79">
        <v>30</v>
      </c>
      <c r="K284" s="80">
        <v>30</v>
      </c>
    </row>
    <row r="285" spans="1:11" ht="21">
      <c r="A285" s="9"/>
      <c r="B285" s="11" t="s">
        <v>17</v>
      </c>
      <c r="C285" s="12">
        <v>2.5</v>
      </c>
      <c r="D285" s="161">
        <f>1/16*100</f>
        <v>6.25</v>
      </c>
      <c r="E285" s="220">
        <f>1/16*100</f>
        <v>6.25</v>
      </c>
      <c r="F285" s="34">
        <f>8/14*100</f>
        <v>57.14285714285714</v>
      </c>
      <c r="G285" s="14">
        <v>50</v>
      </c>
      <c r="H285" s="79">
        <v>50</v>
      </c>
      <c r="I285" s="79">
        <v>50</v>
      </c>
      <c r="J285" s="79">
        <v>50</v>
      </c>
      <c r="K285" s="80" t="s">
        <v>112</v>
      </c>
    </row>
    <row r="286" spans="1:11" ht="21">
      <c r="A286" s="9"/>
      <c r="B286" s="11" t="s">
        <v>18</v>
      </c>
      <c r="C286" s="12">
        <v>2.5</v>
      </c>
      <c r="D286" s="161">
        <f>7/13*100</f>
        <v>53.84615384615385</v>
      </c>
      <c r="E286" s="220">
        <f>8/13.5*100</f>
        <v>59.25925925925925</v>
      </c>
      <c r="F286" s="16" t="s">
        <v>188</v>
      </c>
      <c r="G286" s="14">
        <v>40</v>
      </c>
      <c r="H286" s="79">
        <v>30</v>
      </c>
      <c r="I286" s="79">
        <v>30</v>
      </c>
      <c r="J286" s="90">
        <v>30</v>
      </c>
      <c r="K286" s="80" t="s">
        <v>163</v>
      </c>
    </row>
    <row r="287" spans="1:11" ht="21">
      <c r="A287" s="4"/>
      <c r="B287" s="17" t="s">
        <v>35</v>
      </c>
      <c r="C287" s="6">
        <v>2.5</v>
      </c>
      <c r="D287" s="171">
        <f>2/36*100</f>
        <v>5.555555555555555</v>
      </c>
      <c r="E287" s="33">
        <f>1/37*100</f>
        <v>2.7027027027027026</v>
      </c>
      <c r="F287" s="33">
        <f>19/40*100</f>
        <v>47.5</v>
      </c>
      <c r="G287" s="8">
        <v>30</v>
      </c>
      <c r="H287" s="78">
        <v>30</v>
      </c>
      <c r="I287" s="78">
        <v>30</v>
      </c>
      <c r="J287" s="78">
        <v>30</v>
      </c>
      <c r="K287" s="78">
        <v>30</v>
      </c>
    </row>
    <row r="288" spans="1:11" ht="21">
      <c r="A288" s="77" t="s">
        <v>189</v>
      </c>
      <c r="B288" s="253" t="s">
        <v>190</v>
      </c>
      <c r="C288" s="254"/>
      <c r="D288" s="254"/>
      <c r="E288" s="254"/>
      <c r="F288" s="254"/>
      <c r="G288" s="254"/>
      <c r="H288" s="254"/>
      <c r="I288" s="254"/>
      <c r="J288" s="254"/>
      <c r="K288" s="254"/>
    </row>
    <row r="289" spans="1:11" ht="21">
      <c r="A289" s="9"/>
      <c r="B289" s="5" t="s">
        <v>8</v>
      </c>
      <c r="C289" s="6">
        <v>2.5</v>
      </c>
      <c r="D289" s="162">
        <f>88/150*100</f>
        <v>58.666666666666664</v>
      </c>
      <c r="E289" s="162">
        <f>83/150*100</f>
        <v>55.333333333333336</v>
      </c>
      <c r="F289" s="162">
        <f>67/152*100</f>
        <v>44.07894736842105</v>
      </c>
      <c r="G289" s="225">
        <v>45</v>
      </c>
      <c r="H289" s="225">
        <v>45</v>
      </c>
      <c r="I289" s="225">
        <v>50</v>
      </c>
      <c r="J289" s="225">
        <v>50</v>
      </c>
      <c r="K289" s="225">
        <v>50</v>
      </c>
    </row>
    <row r="290" spans="1:11" ht="21">
      <c r="A290" s="9"/>
      <c r="B290" s="11" t="s">
        <v>11</v>
      </c>
      <c r="C290" s="12">
        <v>2.5</v>
      </c>
      <c r="D290" s="170">
        <f>1/26*100</f>
        <v>3.8461538461538463</v>
      </c>
      <c r="E290" s="169">
        <f>1/25*100</f>
        <v>4</v>
      </c>
      <c r="F290" s="169">
        <f>2/25*100</f>
        <v>8</v>
      </c>
      <c r="G290" s="105">
        <v>8</v>
      </c>
      <c r="H290" s="105">
        <v>8</v>
      </c>
      <c r="I290" s="105">
        <v>10</v>
      </c>
      <c r="J290" s="105">
        <v>10</v>
      </c>
      <c r="K290" s="218" t="s">
        <v>167</v>
      </c>
    </row>
    <row r="291" spans="1:11" ht="21">
      <c r="A291" s="9"/>
      <c r="B291" s="11" t="s">
        <v>13</v>
      </c>
      <c r="C291" s="12">
        <v>2.5</v>
      </c>
      <c r="D291" s="170">
        <f>6/27*100</f>
        <v>22.22222222222222</v>
      </c>
      <c r="E291" s="169">
        <f>8/26*100</f>
        <v>30.76923076923077</v>
      </c>
      <c r="F291" s="179">
        <f>3/30*100</f>
        <v>10</v>
      </c>
      <c r="G291" s="105">
        <v>10.5</v>
      </c>
      <c r="H291" s="105">
        <v>10.5</v>
      </c>
      <c r="I291" s="105">
        <v>10.5</v>
      </c>
      <c r="J291" s="105">
        <v>10.5</v>
      </c>
      <c r="K291" s="105">
        <v>10.5</v>
      </c>
    </row>
    <row r="292" spans="1:11" ht="21">
      <c r="A292" s="9"/>
      <c r="B292" s="11" t="s">
        <v>15</v>
      </c>
      <c r="C292" s="12">
        <v>2.5</v>
      </c>
      <c r="D292" s="176">
        <f>16/22*100</f>
        <v>72.72727272727273</v>
      </c>
      <c r="E292" s="175">
        <f>17/20.5*100</f>
        <v>82.92682926829268</v>
      </c>
      <c r="F292" s="175">
        <f>15/22*100</f>
        <v>68.18181818181817</v>
      </c>
      <c r="G292" s="224">
        <v>60</v>
      </c>
      <c r="H292" s="224">
        <v>60</v>
      </c>
      <c r="I292" s="224">
        <v>65</v>
      </c>
      <c r="J292" s="224">
        <v>65</v>
      </c>
      <c r="K292" s="224">
        <v>65</v>
      </c>
    </row>
    <row r="293" spans="1:11" ht="21">
      <c r="A293" s="9"/>
      <c r="B293" s="11" t="s">
        <v>16</v>
      </c>
      <c r="C293" s="12">
        <v>2.5</v>
      </c>
      <c r="D293" s="170">
        <f>1/23*100</f>
        <v>4.3478260869565215</v>
      </c>
      <c r="E293" s="169">
        <f>1/24*100</f>
        <v>4.166666666666666</v>
      </c>
      <c r="F293" s="13"/>
      <c r="G293" s="174">
        <v>4</v>
      </c>
      <c r="H293" s="174">
        <v>4.1</v>
      </c>
      <c r="I293" s="174">
        <v>4.1</v>
      </c>
      <c r="J293" s="174">
        <v>4.2</v>
      </c>
      <c r="K293" s="174">
        <v>4.2</v>
      </c>
    </row>
    <row r="294" spans="1:11" ht="21">
      <c r="A294" s="9"/>
      <c r="B294" s="11" t="s">
        <v>17</v>
      </c>
      <c r="C294" s="12">
        <v>2.5</v>
      </c>
      <c r="D294" s="170">
        <f>2/15*100</f>
        <v>13.333333333333334</v>
      </c>
      <c r="E294" s="175">
        <f>3/15*100</f>
        <v>20</v>
      </c>
      <c r="F294" s="175">
        <f>1/14*100</f>
        <v>7.142857142857142</v>
      </c>
      <c r="G294" s="105">
        <v>30</v>
      </c>
      <c r="H294" s="105">
        <v>30</v>
      </c>
      <c r="I294" s="105">
        <v>30</v>
      </c>
      <c r="J294" s="105">
        <v>30</v>
      </c>
      <c r="K294" s="105">
        <v>30</v>
      </c>
    </row>
    <row r="295" spans="1:11" ht="21">
      <c r="A295" s="9"/>
      <c r="B295" s="11" t="s">
        <v>18</v>
      </c>
      <c r="C295" s="12">
        <v>2.5</v>
      </c>
      <c r="D295" s="170">
        <f>1/10*100</f>
        <v>10</v>
      </c>
      <c r="E295" s="175">
        <f>1/10.5*100</f>
        <v>9.523809523809524</v>
      </c>
      <c r="F295" s="213">
        <f>3/11*100</f>
        <v>27.27272727272727</v>
      </c>
      <c r="G295" s="141">
        <v>100</v>
      </c>
      <c r="H295" s="236">
        <v>100</v>
      </c>
      <c r="I295" s="236">
        <v>100</v>
      </c>
      <c r="J295" s="223">
        <v>100</v>
      </c>
      <c r="K295" s="237" t="s">
        <v>98</v>
      </c>
    </row>
    <row r="296" spans="1:11" ht="21">
      <c r="A296" s="4"/>
      <c r="B296" s="17" t="s">
        <v>35</v>
      </c>
      <c r="C296" s="6">
        <v>2.5</v>
      </c>
      <c r="D296" s="163">
        <f>8/27*100</f>
        <v>29.629629629629626</v>
      </c>
      <c r="E296" s="162">
        <f>9/29*100</f>
        <v>31.03448275862069</v>
      </c>
      <c r="F296" s="173">
        <f>7/30*100</f>
        <v>23.333333333333332</v>
      </c>
      <c r="G296" s="226">
        <v>30</v>
      </c>
      <c r="H296" s="243">
        <v>30</v>
      </c>
      <c r="I296" s="243">
        <v>30</v>
      </c>
      <c r="J296" s="243">
        <v>30</v>
      </c>
      <c r="K296" s="243">
        <v>30</v>
      </c>
    </row>
    <row r="297" spans="1:11" ht="21">
      <c r="A297" s="77" t="s">
        <v>191</v>
      </c>
      <c r="B297" s="253" t="s">
        <v>192</v>
      </c>
      <c r="C297" s="254"/>
      <c r="D297" s="254"/>
      <c r="E297" s="254"/>
      <c r="F297" s="254"/>
      <c r="G297" s="254"/>
      <c r="H297" s="254"/>
      <c r="I297" s="254"/>
      <c r="J297" s="254"/>
      <c r="K297" s="254"/>
    </row>
    <row r="298" spans="1:11" ht="21" customHeight="1">
      <c r="A298" s="9"/>
      <c r="B298" s="5" t="s">
        <v>8</v>
      </c>
      <c r="C298" s="6">
        <v>2.5</v>
      </c>
      <c r="D298" s="10">
        <v>95.93</v>
      </c>
      <c r="E298" s="10">
        <v>86.91</v>
      </c>
      <c r="F298" s="10">
        <v>83.57</v>
      </c>
      <c r="G298" s="8">
        <v>80</v>
      </c>
      <c r="H298" s="78">
        <v>80</v>
      </c>
      <c r="I298" s="78">
        <v>80</v>
      </c>
      <c r="J298" s="78">
        <v>80</v>
      </c>
      <c r="K298" s="84" t="s">
        <v>120</v>
      </c>
    </row>
    <row r="299" spans="1:11" ht="21">
      <c r="A299" s="4"/>
      <c r="B299" s="17" t="s">
        <v>35</v>
      </c>
      <c r="C299" s="6">
        <v>2.5</v>
      </c>
      <c r="D299" s="10" t="s">
        <v>119</v>
      </c>
      <c r="E299" s="10">
        <v>81.11</v>
      </c>
      <c r="F299" s="10">
        <v>81.95</v>
      </c>
      <c r="G299" s="8">
        <v>80</v>
      </c>
      <c r="H299" s="78">
        <v>80</v>
      </c>
      <c r="I299" s="78">
        <v>80</v>
      </c>
      <c r="J299" s="78">
        <v>80</v>
      </c>
      <c r="K299" s="78">
        <v>80</v>
      </c>
    </row>
    <row r="300" spans="1:11" ht="21">
      <c r="A300" s="77" t="s">
        <v>193</v>
      </c>
      <c r="B300" s="253" t="s">
        <v>194</v>
      </c>
      <c r="C300" s="254"/>
      <c r="D300" s="254"/>
      <c r="E300" s="254"/>
      <c r="F300" s="254"/>
      <c r="G300" s="254"/>
      <c r="H300" s="254"/>
      <c r="I300" s="254"/>
      <c r="J300" s="254"/>
      <c r="K300" s="254"/>
    </row>
    <row r="301" spans="1:11" ht="21" customHeight="1">
      <c r="A301" s="4"/>
      <c r="B301" s="5" t="s">
        <v>8</v>
      </c>
      <c r="C301" s="6">
        <v>2.5</v>
      </c>
      <c r="D301" s="26">
        <v>8234.7212</v>
      </c>
      <c r="E301" s="26">
        <v>8364.34</v>
      </c>
      <c r="F301" s="26">
        <v>7919.14</v>
      </c>
      <c r="G301" s="31">
        <v>8000</v>
      </c>
      <c r="H301" s="88">
        <v>8000</v>
      </c>
      <c r="I301" s="88">
        <v>8000</v>
      </c>
      <c r="J301" s="88">
        <v>8000</v>
      </c>
      <c r="K301" s="88">
        <v>8000</v>
      </c>
    </row>
    <row r="302" spans="1:11" ht="21">
      <c r="A302" s="77" t="s">
        <v>195</v>
      </c>
      <c r="B302" s="253" t="s">
        <v>196</v>
      </c>
      <c r="C302" s="254"/>
      <c r="D302" s="254"/>
      <c r="E302" s="254"/>
      <c r="F302" s="254"/>
      <c r="G302" s="254"/>
      <c r="H302" s="254"/>
      <c r="I302" s="254"/>
      <c r="J302" s="254"/>
      <c r="K302" s="254"/>
    </row>
    <row r="303" spans="1:11" ht="21" customHeight="1">
      <c r="A303" s="4"/>
      <c r="B303" s="5" t="s">
        <v>8</v>
      </c>
      <c r="C303" s="6">
        <v>2.5</v>
      </c>
      <c r="D303" s="35">
        <v>3</v>
      </c>
      <c r="E303" s="35">
        <v>5</v>
      </c>
      <c r="F303" s="35">
        <v>5</v>
      </c>
      <c r="G303" s="8">
        <v>5</v>
      </c>
      <c r="H303" s="78">
        <v>5</v>
      </c>
      <c r="I303" s="78">
        <v>5</v>
      </c>
      <c r="J303" s="88">
        <v>5</v>
      </c>
      <c r="K303" s="88">
        <v>5</v>
      </c>
    </row>
    <row r="304" spans="1:11" ht="21">
      <c r="A304" s="77" t="s">
        <v>197</v>
      </c>
      <c r="B304" s="253" t="s">
        <v>198</v>
      </c>
      <c r="C304" s="254"/>
      <c r="D304" s="254"/>
      <c r="E304" s="254"/>
      <c r="F304" s="254"/>
      <c r="G304" s="254"/>
      <c r="H304" s="254"/>
      <c r="I304" s="254"/>
      <c r="J304" s="254"/>
      <c r="K304" s="254"/>
    </row>
    <row r="305" spans="1:11" ht="21" customHeight="1">
      <c r="A305" s="4"/>
      <c r="B305" s="5" t="s">
        <v>8</v>
      </c>
      <c r="C305" s="6">
        <v>2.5</v>
      </c>
      <c r="D305" s="48"/>
      <c r="E305" s="48"/>
      <c r="F305" s="48"/>
      <c r="G305" s="49">
        <v>0.2</v>
      </c>
      <c r="H305" s="92">
        <v>0.2</v>
      </c>
      <c r="I305" s="92">
        <v>0.2</v>
      </c>
      <c r="J305" s="92">
        <v>0.2</v>
      </c>
      <c r="K305" s="92">
        <v>0.2</v>
      </c>
    </row>
    <row r="306" spans="1:11" ht="21">
      <c r="A306" s="77" t="s">
        <v>199</v>
      </c>
      <c r="B306" s="253" t="s">
        <v>200</v>
      </c>
      <c r="C306" s="254"/>
      <c r="D306" s="254"/>
      <c r="E306" s="254"/>
      <c r="F306" s="254"/>
      <c r="G306" s="254"/>
      <c r="H306" s="254"/>
      <c r="I306" s="254"/>
      <c r="J306" s="254"/>
      <c r="K306" s="254"/>
    </row>
    <row r="307" spans="1:11" ht="21" customHeight="1">
      <c r="A307" s="9"/>
      <c r="B307" s="5" t="s">
        <v>8</v>
      </c>
      <c r="C307" s="6">
        <v>2.5</v>
      </c>
      <c r="D307" s="48"/>
      <c r="E307" s="48"/>
      <c r="F307" s="48"/>
      <c r="G307" s="30">
        <v>5</v>
      </c>
      <c r="H307" s="86">
        <v>5</v>
      </c>
      <c r="I307" s="86">
        <v>7</v>
      </c>
      <c r="J307" s="86">
        <v>7</v>
      </c>
      <c r="K307" s="86">
        <v>7</v>
      </c>
    </row>
    <row r="308" spans="1:11" ht="21">
      <c r="A308" s="82" t="s">
        <v>201</v>
      </c>
      <c r="B308" s="73"/>
      <c r="C308" s="74"/>
      <c r="D308" s="74"/>
      <c r="E308" s="23"/>
      <c r="F308" s="23"/>
      <c r="G308" s="23"/>
      <c r="H308" s="83"/>
      <c r="I308" s="83"/>
      <c r="J308" s="83"/>
      <c r="K308" s="83"/>
    </row>
    <row r="309" spans="1:11" ht="21">
      <c r="A309" s="77" t="s">
        <v>202</v>
      </c>
      <c r="B309" s="253" t="s">
        <v>203</v>
      </c>
      <c r="C309" s="254"/>
      <c r="D309" s="254"/>
      <c r="E309" s="254"/>
      <c r="F309" s="254"/>
      <c r="G309" s="254"/>
      <c r="H309" s="254"/>
      <c r="I309" s="254"/>
      <c r="J309" s="254"/>
      <c r="K309" s="254"/>
    </row>
    <row r="310" spans="1:11" ht="21">
      <c r="A310" s="4"/>
      <c r="B310" s="5" t="s">
        <v>8</v>
      </c>
      <c r="C310" s="6">
        <v>3.33</v>
      </c>
      <c r="D310" s="7"/>
      <c r="E310" s="7"/>
      <c r="F310" s="7"/>
      <c r="G310" s="8">
        <v>3</v>
      </c>
      <c r="H310" s="78">
        <v>3</v>
      </c>
      <c r="I310" s="78">
        <v>3</v>
      </c>
      <c r="J310" s="78">
        <v>3</v>
      </c>
      <c r="K310" s="84" t="s">
        <v>204</v>
      </c>
    </row>
    <row r="311" spans="1:11" ht="21" customHeight="1">
      <c r="A311" s="77" t="s">
        <v>205</v>
      </c>
      <c r="B311" s="253" t="s">
        <v>206</v>
      </c>
      <c r="C311" s="254"/>
      <c r="D311" s="254"/>
      <c r="E311" s="254"/>
      <c r="F311" s="254"/>
      <c r="G311" s="254"/>
      <c r="H311" s="254"/>
      <c r="I311" s="254"/>
      <c r="J311" s="254"/>
      <c r="K311" s="254"/>
    </row>
    <row r="312" spans="1:11" ht="21">
      <c r="A312" s="4"/>
      <c r="B312" s="5" t="s">
        <v>8</v>
      </c>
      <c r="C312" s="6">
        <v>3.33</v>
      </c>
      <c r="D312" s="26">
        <v>8.735987630459991</v>
      </c>
      <c r="E312" s="26">
        <v>15.723483564893256</v>
      </c>
      <c r="F312" s="26">
        <v>23.73572593800979</v>
      </c>
      <c r="G312" s="30">
        <v>2</v>
      </c>
      <c r="H312" s="86">
        <v>2</v>
      </c>
      <c r="I312" s="86">
        <v>2</v>
      </c>
      <c r="J312" s="86">
        <v>2.5</v>
      </c>
      <c r="K312" s="86">
        <v>2.5</v>
      </c>
    </row>
    <row r="313" spans="1:11" ht="21" customHeight="1">
      <c r="A313" s="77" t="s">
        <v>207</v>
      </c>
      <c r="B313" s="253" t="s">
        <v>208</v>
      </c>
      <c r="C313" s="254"/>
      <c r="D313" s="254"/>
      <c r="E313" s="254"/>
      <c r="F313" s="254"/>
      <c r="G313" s="254"/>
      <c r="H313" s="254"/>
      <c r="I313" s="254"/>
      <c r="J313" s="254"/>
      <c r="K313" s="254"/>
    </row>
    <row r="314" spans="1:11" ht="21">
      <c r="A314" s="18"/>
      <c r="B314" s="19" t="s">
        <v>8</v>
      </c>
      <c r="C314" s="20">
        <v>3.34</v>
      </c>
      <c r="D314" s="50">
        <v>0.5127105582421945</v>
      </c>
      <c r="E314" s="50">
        <v>0.8337928274307099</v>
      </c>
      <c r="F314" s="50">
        <v>0.7124308575489289</v>
      </c>
      <c r="G314" s="51">
        <v>1</v>
      </c>
      <c r="H314" s="93">
        <v>1</v>
      </c>
      <c r="I314" s="93">
        <v>1</v>
      </c>
      <c r="J314" s="93">
        <v>1</v>
      </c>
      <c r="K314" s="93">
        <v>1</v>
      </c>
    </row>
    <row r="315" spans="1:11" ht="21" customHeight="1">
      <c r="A315" s="82" t="s">
        <v>209</v>
      </c>
      <c r="B315" s="73"/>
      <c r="C315" s="74"/>
      <c r="D315" s="74"/>
      <c r="E315" s="23"/>
      <c r="F315" s="23"/>
      <c r="G315" s="23"/>
      <c r="H315" s="83"/>
      <c r="I315" s="83"/>
      <c r="J315" s="83"/>
      <c r="K315" s="83"/>
    </row>
    <row r="316" spans="1:11" ht="21">
      <c r="A316" s="77" t="s">
        <v>210</v>
      </c>
      <c r="B316" s="253" t="s">
        <v>211</v>
      </c>
      <c r="C316" s="254"/>
      <c r="D316" s="254"/>
      <c r="E316" s="254"/>
      <c r="F316" s="254"/>
      <c r="G316" s="254"/>
      <c r="H316" s="254"/>
      <c r="I316" s="254"/>
      <c r="J316" s="254"/>
      <c r="K316" s="254"/>
    </row>
    <row r="317" spans="1:11" ht="21">
      <c r="A317" s="9"/>
      <c r="B317" s="5" t="s">
        <v>8</v>
      </c>
      <c r="C317" s="6">
        <v>1.53</v>
      </c>
      <c r="D317" s="7"/>
      <c r="E317" s="7"/>
      <c r="F317" s="7"/>
      <c r="G317" s="8">
        <v>5</v>
      </c>
      <c r="H317" s="78">
        <v>5</v>
      </c>
      <c r="I317" s="78">
        <v>5</v>
      </c>
      <c r="J317" s="78">
        <v>5</v>
      </c>
      <c r="K317" s="84" t="s">
        <v>38</v>
      </c>
    </row>
    <row r="318" spans="1:11" ht="21" customHeight="1">
      <c r="A318" s="9"/>
      <c r="B318" s="11" t="s">
        <v>11</v>
      </c>
      <c r="C318" s="12">
        <v>1.53</v>
      </c>
      <c r="D318" s="13"/>
      <c r="E318" s="13"/>
      <c r="F318" s="13"/>
      <c r="G318" s="14">
        <v>4</v>
      </c>
      <c r="H318" s="79">
        <v>4</v>
      </c>
      <c r="I318" s="79">
        <v>4</v>
      </c>
      <c r="J318" s="79">
        <v>4</v>
      </c>
      <c r="K318" s="79">
        <v>4</v>
      </c>
    </row>
    <row r="319" spans="1:11" ht="21">
      <c r="A319" s="9"/>
      <c r="B319" s="11" t="s">
        <v>13</v>
      </c>
      <c r="C319" s="12">
        <v>1.53</v>
      </c>
      <c r="D319" s="13"/>
      <c r="E319" s="13"/>
      <c r="F319" s="13"/>
      <c r="G319" s="14">
        <v>4</v>
      </c>
      <c r="H319" s="79">
        <v>4</v>
      </c>
      <c r="I319" s="79">
        <v>4</v>
      </c>
      <c r="J319" s="79">
        <v>4</v>
      </c>
      <c r="K319" s="79">
        <v>4</v>
      </c>
    </row>
    <row r="320" spans="1:11" ht="21">
      <c r="A320" s="9"/>
      <c r="B320" s="11" t="s">
        <v>15</v>
      </c>
      <c r="C320" s="12">
        <v>1.53</v>
      </c>
      <c r="D320" s="13"/>
      <c r="E320" s="13"/>
      <c r="F320" s="13"/>
      <c r="G320" s="14">
        <v>3</v>
      </c>
      <c r="H320" s="79">
        <v>3</v>
      </c>
      <c r="I320" s="79">
        <v>3</v>
      </c>
      <c r="J320" s="79">
        <v>3</v>
      </c>
      <c r="K320" s="79">
        <v>3</v>
      </c>
    </row>
    <row r="321" spans="1:11" ht="21">
      <c r="A321" s="9"/>
      <c r="B321" s="11" t="s">
        <v>16</v>
      </c>
      <c r="C321" s="12">
        <v>1.53</v>
      </c>
      <c r="D321" s="13"/>
      <c r="E321" s="13"/>
      <c r="F321" s="13"/>
      <c r="G321" s="14">
        <v>3</v>
      </c>
      <c r="H321" s="79">
        <v>3</v>
      </c>
      <c r="I321" s="79">
        <v>3</v>
      </c>
      <c r="J321" s="79">
        <v>3</v>
      </c>
      <c r="K321" s="79">
        <v>3</v>
      </c>
    </row>
    <row r="322" spans="1:11" ht="21">
      <c r="A322" s="9"/>
      <c r="B322" s="11" t="s">
        <v>17</v>
      </c>
      <c r="C322" s="12">
        <v>1.53</v>
      </c>
      <c r="D322" s="13"/>
      <c r="E322" s="13"/>
      <c r="F322" s="13"/>
      <c r="G322" s="14">
        <v>3</v>
      </c>
      <c r="H322" s="79">
        <v>3</v>
      </c>
      <c r="I322" s="79">
        <v>3</v>
      </c>
      <c r="J322" s="79">
        <v>3</v>
      </c>
      <c r="K322" s="79">
        <v>3</v>
      </c>
    </row>
    <row r="323" spans="1:11" ht="21">
      <c r="A323" s="9"/>
      <c r="B323" s="11" t="s">
        <v>18</v>
      </c>
      <c r="C323" s="12">
        <v>1.53</v>
      </c>
      <c r="D323" s="13"/>
      <c r="E323" s="13"/>
      <c r="F323" s="13"/>
      <c r="G323" s="14">
        <v>3</v>
      </c>
      <c r="H323" s="79">
        <v>3</v>
      </c>
      <c r="I323" s="79">
        <v>4</v>
      </c>
      <c r="J323" s="79">
        <v>4</v>
      </c>
      <c r="K323" s="79">
        <v>4</v>
      </c>
    </row>
    <row r="324" spans="1:11" ht="21">
      <c r="A324" s="4"/>
      <c r="B324" s="17" t="s">
        <v>35</v>
      </c>
      <c r="C324" s="6">
        <v>1.53</v>
      </c>
      <c r="D324" s="10" t="s">
        <v>119</v>
      </c>
      <c r="E324" s="10" t="s">
        <v>119</v>
      </c>
      <c r="F324" s="10" t="s">
        <v>119</v>
      </c>
      <c r="G324" s="8">
        <v>4</v>
      </c>
      <c r="H324" s="78">
        <v>4</v>
      </c>
      <c r="I324" s="78">
        <v>4</v>
      </c>
      <c r="J324" s="78">
        <v>4</v>
      </c>
      <c r="K324" s="78">
        <v>4</v>
      </c>
    </row>
    <row r="325" spans="1:11" ht="21">
      <c r="A325" s="77" t="s">
        <v>212</v>
      </c>
      <c r="B325" s="253" t="s">
        <v>213</v>
      </c>
      <c r="C325" s="254"/>
      <c r="D325" s="254"/>
      <c r="E325" s="254"/>
      <c r="F325" s="254"/>
      <c r="G325" s="254"/>
      <c r="H325" s="254"/>
      <c r="I325" s="254"/>
      <c r="J325" s="254"/>
      <c r="K325" s="254"/>
    </row>
    <row r="326" spans="1:11" ht="21">
      <c r="A326" s="9"/>
      <c r="B326" s="5" t="s">
        <v>8</v>
      </c>
      <c r="C326" s="6">
        <v>1.53</v>
      </c>
      <c r="D326" s="7"/>
      <c r="E326" s="7"/>
      <c r="F326" s="7"/>
      <c r="G326" s="8">
        <v>3</v>
      </c>
      <c r="H326" s="78">
        <v>3</v>
      </c>
      <c r="I326" s="78">
        <v>3</v>
      </c>
      <c r="J326" s="78">
        <v>3</v>
      </c>
      <c r="K326" s="84" t="s">
        <v>204</v>
      </c>
    </row>
    <row r="327" spans="1:11" ht="21" customHeight="1">
      <c r="A327" s="9"/>
      <c r="B327" s="11" t="s">
        <v>11</v>
      </c>
      <c r="C327" s="12">
        <v>1.53</v>
      </c>
      <c r="D327" s="13"/>
      <c r="E327" s="13"/>
      <c r="F327" s="13"/>
      <c r="G327" s="14">
        <v>3</v>
      </c>
      <c r="H327" s="79">
        <v>3</v>
      </c>
      <c r="I327" s="79">
        <v>3</v>
      </c>
      <c r="J327" s="79">
        <v>3</v>
      </c>
      <c r="K327" s="79">
        <v>3</v>
      </c>
    </row>
    <row r="328" spans="1:11" ht="21">
      <c r="A328" s="9"/>
      <c r="B328" s="11" t="s">
        <v>13</v>
      </c>
      <c r="C328" s="12">
        <v>1.53</v>
      </c>
      <c r="D328" s="13"/>
      <c r="E328" s="13"/>
      <c r="F328" s="13"/>
      <c r="G328" s="14">
        <v>3</v>
      </c>
      <c r="H328" s="79">
        <v>3</v>
      </c>
      <c r="I328" s="79">
        <v>3</v>
      </c>
      <c r="J328" s="79">
        <v>3</v>
      </c>
      <c r="K328" s="79">
        <v>3</v>
      </c>
    </row>
    <row r="329" spans="1:11" ht="21">
      <c r="A329" s="9"/>
      <c r="B329" s="11" t="s">
        <v>15</v>
      </c>
      <c r="C329" s="12">
        <v>1.53</v>
      </c>
      <c r="D329" s="13"/>
      <c r="E329" s="13"/>
      <c r="F329" s="13"/>
      <c r="G329" s="14">
        <v>4</v>
      </c>
      <c r="H329" s="79">
        <v>4</v>
      </c>
      <c r="I329" s="79">
        <v>4</v>
      </c>
      <c r="J329" s="79">
        <v>4</v>
      </c>
      <c r="K329" s="79">
        <v>4</v>
      </c>
    </row>
    <row r="330" spans="1:11" ht="21">
      <c r="A330" s="9"/>
      <c r="B330" s="11" t="s">
        <v>16</v>
      </c>
      <c r="C330" s="12">
        <v>1.53</v>
      </c>
      <c r="D330" s="13"/>
      <c r="E330" s="13"/>
      <c r="F330" s="13"/>
      <c r="G330" s="14">
        <v>3</v>
      </c>
      <c r="H330" s="79">
        <v>3</v>
      </c>
      <c r="I330" s="79">
        <v>3</v>
      </c>
      <c r="J330" s="79">
        <v>3</v>
      </c>
      <c r="K330" s="79">
        <v>3</v>
      </c>
    </row>
    <row r="331" spans="1:11" ht="21">
      <c r="A331" s="9"/>
      <c r="B331" s="11" t="s">
        <v>17</v>
      </c>
      <c r="C331" s="12">
        <v>1.53</v>
      </c>
      <c r="D331" s="13"/>
      <c r="E331" s="13"/>
      <c r="F331" s="13"/>
      <c r="G331" s="14">
        <v>4</v>
      </c>
      <c r="H331" s="79">
        <v>4</v>
      </c>
      <c r="I331" s="79">
        <v>4</v>
      </c>
      <c r="J331" s="79">
        <v>4</v>
      </c>
      <c r="K331" s="79">
        <v>4</v>
      </c>
    </row>
    <row r="332" spans="1:11" ht="21">
      <c r="A332" s="9"/>
      <c r="B332" s="11" t="s">
        <v>18</v>
      </c>
      <c r="C332" s="12">
        <v>1.53</v>
      </c>
      <c r="D332" s="13"/>
      <c r="E332" s="13"/>
      <c r="F332" s="13"/>
      <c r="G332" s="14">
        <v>3</v>
      </c>
      <c r="H332" s="79">
        <v>3</v>
      </c>
      <c r="I332" s="79">
        <v>4</v>
      </c>
      <c r="J332" s="79">
        <v>4</v>
      </c>
      <c r="K332" s="79">
        <v>4</v>
      </c>
    </row>
    <row r="333" spans="1:11" ht="21">
      <c r="A333" s="9"/>
      <c r="B333" s="11" t="s">
        <v>35</v>
      </c>
      <c r="C333" s="12">
        <v>1.53</v>
      </c>
      <c r="D333" s="16" t="s">
        <v>119</v>
      </c>
      <c r="E333" s="16" t="s">
        <v>119</v>
      </c>
      <c r="F333" s="16" t="s">
        <v>119</v>
      </c>
      <c r="G333" s="14">
        <v>3</v>
      </c>
      <c r="H333" s="79">
        <v>3</v>
      </c>
      <c r="I333" s="79">
        <v>3</v>
      </c>
      <c r="J333" s="79">
        <v>3</v>
      </c>
      <c r="K333" s="79">
        <v>3</v>
      </c>
    </row>
    <row r="334" spans="1:11" ht="21">
      <c r="A334" s="9"/>
      <c r="B334" s="11" t="s">
        <v>19</v>
      </c>
      <c r="C334" s="12">
        <v>1.53</v>
      </c>
      <c r="D334" s="13"/>
      <c r="E334" s="13"/>
      <c r="F334" s="13"/>
      <c r="G334" s="14">
        <v>3</v>
      </c>
      <c r="H334" s="79">
        <v>3</v>
      </c>
      <c r="I334" s="79">
        <v>3</v>
      </c>
      <c r="J334" s="79">
        <v>3</v>
      </c>
      <c r="K334" s="79">
        <v>3</v>
      </c>
    </row>
    <row r="335" spans="1:11" ht="21">
      <c r="A335" s="9"/>
      <c r="B335" s="11" t="s">
        <v>20</v>
      </c>
      <c r="C335" s="12">
        <v>1.53</v>
      </c>
      <c r="D335" s="16">
        <v>3</v>
      </c>
      <c r="E335" s="16">
        <v>3</v>
      </c>
      <c r="F335" s="16">
        <v>3</v>
      </c>
      <c r="G335" s="14">
        <v>3</v>
      </c>
      <c r="H335" s="79">
        <v>3</v>
      </c>
      <c r="I335" s="79">
        <v>3</v>
      </c>
      <c r="J335" s="79">
        <v>4</v>
      </c>
      <c r="K335" s="79">
        <v>4</v>
      </c>
    </row>
    <row r="336" spans="1:11" ht="21">
      <c r="A336" s="9"/>
      <c r="B336" s="11" t="s">
        <v>22</v>
      </c>
      <c r="C336" s="12">
        <v>1.53</v>
      </c>
      <c r="D336" s="13"/>
      <c r="E336" s="13"/>
      <c r="F336" s="13"/>
      <c r="G336" s="14">
        <v>4</v>
      </c>
      <c r="H336" s="79">
        <v>4</v>
      </c>
      <c r="I336" s="79">
        <v>4</v>
      </c>
      <c r="J336" s="79">
        <v>4</v>
      </c>
      <c r="K336" s="79">
        <v>4</v>
      </c>
    </row>
    <row r="337" spans="1:11" ht="21">
      <c r="A337" s="9"/>
      <c r="B337" s="11" t="s">
        <v>23</v>
      </c>
      <c r="C337" s="12">
        <v>1.53</v>
      </c>
      <c r="D337" s="13"/>
      <c r="E337" s="13"/>
      <c r="F337" s="13"/>
      <c r="G337" s="14" t="s">
        <v>21</v>
      </c>
      <c r="H337" s="79">
        <v>3</v>
      </c>
      <c r="I337" s="79">
        <v>3</v>
      </c>
      <c r="J337" s="79">
        <v>3</v>
      </c>
      <c r="K337" s="79">
        <v>3</v>
      </c>
    </row>
    <row r="338" spans="1:11" ht="21">
      <c r="A338" s="9"/>
      <c r="B338" s="11" t="s">
        <v>24</v>
      </c>
      <c r="C338" s="12">
        <v>1.53</v>
      </c>
      <c r="D338" s="13"/>
      <c r="E338" s="13"/>
      <c r="F338" s="13"/>
      <c r="G338" s="14">
        <v>2</v>
      </c>
      <c r="H338" s="79">
        <v>3</v>
      </c>
      <c r="I338" s="79">
        <v>3</v>
      </c>
      <c r="J338" s="79">
        <v>3</v>
      </c>
      <c r="K338" s="79">
        <v>3</v>
      </c>
    </row>
    <row r="339" spans="1:11" ht="21">
      <c r="A339" s="9"/>
      <c r="B339" s="11" t="s">
        <v>25</v>
      </c>
      <c r="C339" s="12">
        <v>1.53</v>
      </c>
      <c r="D339" s="16" t="s">
        <v>26</v>
      </c>
      <c r="E339" s="16" t="s">
        <v>26</v>
      </c>
      <c r="F339" s="16" t="s">
        <v>26</v>
      </c>
      <c r="G339" s="14">
        <v>2</v>
      </c>
      <c r="H339" s="79">
        <v>3</v>
      </c>
      <c r="I339" s="79">
        <v>3</v>
      </c>
      <c r="J339" s="79">
        <v>3</v>
      </c>
      <c r="K339" s="79">
        <v>3</v>
      </c>
    </row>
    <row r="340" spans="1:11" ht="21">
      <c r="A340" s="4"/>
      <c r="B340" s="17" t="s">
        <v>27</v>
      </c>
      <c r="C340" s="6">
        <v>1.53</v>
      </c>
      <c r="D340" s="7"/>
      <c r="E340" s="7"/>
      <c r="F340" s="7"/>
      <c r="G340" s="14">
        <v>3</v>
      </c>
      <c r="H340" s="79">
        <v>3</v>
      </c>
      <c r="I340" s="79">
        <v>3</v>
      </c>
      <c r="J340" s="79">
        <v>3</v>
      </c>
      <c r="K340" s="79">
        <v>3</v>
      </c>
    </row>
    <row r="341" spans="1:11" ht="21">
      <c r="A341" s="77" t="s">
        <v>214</v>
      </c>
      <c r="B341" s="253" t="s">
        <v>215</v>
      </c>
      <c r="C341" s="254"/>
      <c r="D341" s="254"/>
      <c r="E341" s="254"/>
      <c r="F341" s="254"/>
      <c r="G341" s="254"/>
      <c r="H341" s="254"/>
      <c r="I341" s="254"/>
      <c r="J341" s="254"/>
      <c r="K341" s="254"/>
    </row>
    <row r="342" spans="1:11" ht="21">
      <c r="A342" s="4"/>
      <c r="B342" s="5" t="s">
        <v>8</v>
      </c>
      <c r="C342" s="6">
        <v>1.53</v>
      </c>
      <c r="D342" s="7"/>
      <c r="E342" s="7"/>
      <c r="F342" s="7"/>
      <c r="G342" s="8">
        <v>2</v>
      </c>
      <c r="H342" s="78">
        <v>4</v>
      </c>
      <c r="I342" s="78">
        <v>4</v>
      </c>
      <c r="J342" s="78">
        <v>5</v>
      </c>
      <c r="K342" s="84" t="s">
        <v>38</v>
      </c>
    </row>
    <row r="343" spans="1:11" ht="21" customHeight="1">
      <c r="A343" s="77" t="s">
        <v>216</v>
      </c>
      <c r="B343" s="253" t="s">
        <v>217</v>
      </c>
      <c r="C343" s="254"/>
      <c r="D343" s="254"/>
      <c r="E343" s="254"/>
      <c r="F343" s="254"/>
      <c r="G343" s="254"/>
      <c r="H343" s="254"/>
      <c r="I343" s="254"/>
      <c r="J343" s="254"/>
      <c r="K343" s="254"/>
    </row>
    <row r="344" spans="1:11" ht="21">
      <c r="A344" s="9"/>
      <c r="B344" s="5" t="s">
        <v>8</v>
      </c>
      <c r="C344" s="6">
        <v>1.53</v>
      </c>
      <c r="D344" s="7"/>
      <c r="E344" s="7"/>
      <c r="F344" s="7"/>
      <c r="G344" s="8">
        <v>4</v>
      </c>
      <c r="H344" s="78">
        <v>5</v>
      </c>
      <c r="I344" s="78">
        <v>6</v>
      </c>
      <c r="J344" s="78">
        <v>6</v>
      </c>
      <c r="K344" s="84" t="s">
        <v>146</v>
      </c>
    </row>
    <row r="345" spans="1:11" ht="21" customHeight="1">
      <c r="A345" s="9"/>
      <c r="B345" s="11" t="s">
        <v>11</v>
      </c>
      <c r="C345" s="12">
        <v>1.53</v>
      </c>
      <c r="D345" s="13"/>
      <c r="E345" s="13"/>
      <c r="F345" s="13"/>
      <c r="G345" s="14">
        <v>4</v>
      </c>
      <c r="H345" s="79">
        <v>4</v>
      </c>
      <c r="I345" s="79">
        <v>4</v>
      </c>
      <c r="J345" s="79">
        <v>4</v>
      </c>
      <c r="K345" s="79">
        <v>4</v>
      </c>
    </row>
    <row r="346" spans="1:11" ht="21">
      <c r="A346" s="9"/>
      <c r="B346" s="11" t="s">
        <v>13</v>
      </c>
      <c r="C346" s="12">
        <v>1.53</v>
      </c>
      <c r="D346" s="13"/>
      <c r="E346" s="13"/>
      <c r="F346" s="13"/>
      <c r="G346" s="102">
        <v>4</v>
      </c>
      <c r="H346" s="102">
        <v>4</v>
      </c>
      <c r="I346" s="79">
        <v>5</v>
      </c>
      <c r="J346" s="79">
        <v>5</v>
      </c>
      <c r="K346" s="79">
        <v>5</v>
      </c>
    </row>
    <row r="347" spans="1:11" ht="21">
      <c r="A347" s="9"/>
      <c r="B347" s="11" t="s">
        <v>15</v>
      </c>
      <c r="C347" s="12">
        <v>1.53</v>
      </c>
      <c r="D347" s="13"/>
      <c r="E347" s="13"/>
      <c r="F347" s="13"/>
      <c r="G347" s="14">
        <v>3</v>
      </c>
      <c r="H347" s="79">
        <v>3</v>
      </c>
      <c r="I347" s="79">
        <v>3</v>
      </c>
      <c r="J347" s="79">
        <v>3</v>
      </c>
      <c r="K347" s="79">
        <v>3</v>
      </c>
    </row>
    <row r="348" spans="1:11" ht="21">
      <c r="A348" s="9"/>
      <c r="B348" s="11" t="s">
        <v>16</v>
      </c>
      <c r="C348" s="12">
        <v>1.53</v>
      </c>
      <c r="D348" s="13"/>
      <c r="E348" s="13"/>
      <c r="F348" s="13"/>
      <c r="G348" s="14">
        <v>3</v>
      </c>
      <c r="H348" s="79">
        <v>3</v>
      </c>
      <c r="I348" s="79">
        <v>3</v>
      </c>
      <c r="J348" s="79">
        <v>4</v>
      </c>
      <c r="K348" s="79">
        <v>4</v>
      </c>
    </row>
    <row r="349" spans="1:11" ht="21">
      <c r="A349" s="9"/>
      <c r="B349" s="11" t="s">
        <v>17</v>
      </c>
      <c r="C349" s="12">
        <v>1.53</v>
      </c>
      <c r="D349" s="13"/>
      <c r="E349" s="13"/>
      <c r="F349" s="13"/>
      <c r="G349" s="14">
        <v>3</v>
      </c>
      <c r="H349" s="79">
        <v>3</v>
      </c>
      <c r="I349" s="79">
        <v>3</v>
      </c>
      <c r="J349" s="79">
        <v>3</v>
      </c>
      <c r="K349" s="79">
        <v>3</v>
      </c>
    </row>
    <row r="350" spans="1:11" ht="21">
      <c r="A350" s="9"/>
      <c r="B350" s="11" t="s">
        <v>18</v>
      </c>
      <c r="C350" s="12">
        <v>1.53</v>
      </c>
      <c r="D350" s="13"/>
      <c r="E350" s="13"/>
      <c r="F350" s="13"/>
      <c r="G350" s="14">
        <v>4</v>
      </c>
      <c r="H350" s="79">
        <v>4</v>
      </c>
      <c r="I350" s="79">
        <v>5</v>
      </c>
      <c r="J350" s="79">
        <v>5</v>
      </c>
      <c r="K350" s="79">
        <v>5</v>
      </c>
    </row>
    <row r="351" spans="1:11" ht="21">
      <c r="A351" s="9"/>
      <c r="B351" s="11" t="s">
        <v>35</v>
      </c>
      <c r="C351" s="12">
        <v>1.53</v>
      </c>
      <c r="D351" s="16" t="s">
        <v>119</v>
      </c>
      <c r="E351" s="16" t="s">
        <v>119</v>
      </c>
      <c r="F351" s="16" t="s">
        <v>119</v>
      </c>
      <c r="G351" s="14">
        <v>5</v>
      </c>
      <c r="H351" s="79">
        <v>5</v>
      </c>
      <c r="I351" s="79">
        <v>5</v>
      </c>
      <c r="J351" s="79">
        <v>5</v>
      </c>
      <c r="K351" s="79">
        <v>5</v>
      </c>
    </row>
    <row r="352" spans="1:11" ht="21">
      <c r="A352" s="9"/>
      <c r="B352" s="11" t="s">
        <v>19</v>
      </c>
      <c r="C352" s="12">
        <v>1.53</v>
      </c>
      <c r="D352" s="13"/>
      <c r="E352" s="13"/>
      <c r="F352" s="13"/>
      <c r="G352" s="14">
        <v>4</v>
      </c>
      <c r="H352" s="79">
        <v>4</v>
      </c>
      <c r="I352" s="79">
        <v>4</v>
      </c>
      <c r="J352" s="79">
        <v>4</v>
      </c>
      <c r="K352" s="79">
        <v>4</v>
      </c>
    </row>
    <row r="353" spans="1:11" ht="21">
      <c r="A353" s="9"/>
      <c r="B353" s="11" t="s">
        <v>20</v>
      </c>
      <c r="C353" s="12">
        <v>1.53</v>
      </c>
      <c r="D353" s="16">
        <v>2</v>
      </c>
      <c r="E353" s="16">
        <v>2</v>
      </c>
      <c r="F353" s="16">
        <v>2</v>
      </c>
      <c r="G353" s="14">
        <v>3</v>
      </c>
      <c r="H353" s="79">
        <v>3</v>
      </c>
      <c r="I353" s="79">
        <v>4</v>
      </c>
      <c r="J353" s="79">
        <v>6</v>
      </c>
      <c r="K353" s="79">
        <v>6</v>
      </c>
    </row>
    <row r="354" spans="1:11" ht="21">
      <c r="A354" s="9"/>
      <c r="B354" s="11" t="s">
        <v>22</v>
      </c>
      <c r="C354" s="12">
        <v>1.53</v>
      </c>
      <c r="D354" s="13"/>
      <c r="E354" s="13"/>
      <c r="F354" s="13"/>
      <c r="G354" s="102">
        <v>3</v>
      </c>
      <c r="H354" s="102">
        <v>3</v>
      </c>
      <c r="I354" s="102">
        <v>3</v>
      </c>
      <c r="J354" s="102">
        <v>3</v>
      </c>
      <c r="K354" s="102">
        <v>3</v>
      </c>
    </row>
    <row r="355" spans="1:11" ht="21">
      <c r="A355" s="9"/>
      <c r="B355" s="11" t="s">
        <v>23</v>
      </c>
      <c r="C355" s="12">
        <v>1.53</v>
      </c>
      <c r="D355" s="13"/>
      <c r="E355" s="13"/>
      <c r="F355" s="13"/>
      <c r="G355" s="14" t="s">
        <v>21</v>
      </c>
      <c r="H355" s="109">
        <v>3</v>
      </c>
      <c r="I355" s="109">
        <v>3</v>
      </c>
      <c r="J355" s="109">
        <v>3</v>
      </c>
      <c r="K355" s="109">
        <v>3</v>
      </c>
    </row>
    <row r="356" spans="1:11" ht="21">
      <c r="A356" s="9"/>
      <c r="B356" s="11" t="s">
        <v>24</v>
      </c>
      <c r="C356" s="12">
        <v>1.53</v>
      </c>
      <c r="D356" s="13"/>
      <c r="E356" s="13"/>
      <c r="F356" s="13"/>
      <c r="G356" s="14">
        <v>1</v>
      </c>
      <c r="H356" s="79">
        <v>3</v>
      </c>
      <c r="I356" s="79">
        <v>3</v>
      </c>
      <c r="J356" s="79">
        <v>3</v>
      </c>
      <c r="K356" s="79">
        <v>3</v>
      </c>
    </row>
    <row r="357" spans="1:11" ht="21">
      <c r="A357" s="9"/>
      <c r="B357" s="11" t="s">
        <v>25</v>
      </c>
      <c r="C357" s="12">
        <v>1.53</v>
      </c>
      <c r="D357" s="16" t="s">
        <v>26</v>
      </c>
      <c r="E357" s="16" t="s">
        <v>26</v>
      </c>
      <c r="F357" s="16" t="s">
        <v>26</v>
      </c>
      <c r="G357" s="14">
        <v>1</v>
      </c>
      <c r="H357" s="79">
        <v>3</v>
      </c>
      <c r="I357" s="79">
        <v>3</v>
      </c>
      <c r="J357" s="79">
        <v>3</v>
      </c>
      <c r="K357" s="79">
        <v>3</v>
      </c>
    </row>
    <row r="358" spans="1:11" ht="21">
      <c r="A358" s="4"/>
      <c r="B358" s="17" t="s">
        <v>27</v>
      </c>
      <c r="C358" s="6">
        <v>1.53</v>
      </c>
      <c r="D358" s="7"/>
      <c r="E358" s="7"/>
      <c r="F358" s="7"/>
      <c r="G358" s="79">
        <v>3</v>
      </c>
      <c r="H358" s="79">
        <v>3</v>
      </c>
      <c r="I358" s="79">
        <v>3</v>
      </c>
      <c r="J358" s="79">
        <v>3</v>
      </c>
      <c r="K358" s="79">
        <v>3</v>
      </c>
    </row>
    <row r="359" spans="1:11" ht="21">
      <c r="A359" s="77" t="s">
        <v>218</v>
      </c>
      <c r="B359" s="253" t="s">
        <v>219</v>
      </c>
      <c r="C359" s="254"/>
      <c r="D359" s="254"/>
      <c r="E359" s="254"/>
      <c r="F359" s="254"/>
      <c r="G359" s="254"/>
      <c r="H359" s="254"/>
      <c r="I359" s="254"/>
      <c r="J359" s="254"/>
      <c r="K359" s="254"/>
    </row>
    <row r="360" spans="1:11" ht="21">
      <c r="A360" s="4"/>
      <c r="B360" s="5" t="s">
        <v>8</v>
      </c>
      <c r="C360" s="6">
        <v>1.53</v>
      </c>
      <c r="D360" s="25">
        <v>3</v>
      </c>
      <c r="E360" s="25">
        <v>4</v>
      </c>
      <c r="F360" s="25">
        <v>4</v>
      </c>
      <c r="G360" s="8">
        <v>5</v>
      </c>
      <c r="H360" s="78">
        <v>5</v>
      </c>
      <c r="I360" s="78">
        <v>5</v>
      </c>
      <c r="J360" s="78">
        <v>5</v>
      </c>
      <c r="K360" s="78">
        <v>5</v>
      </c>
    </row>
    <row r="361" spans="1:11" ht="21" customHeight="1">
      <c r="A361" s="77" t="s">
        <v>220</v>
      </c>
      <c r="B361" s="253" t="s">
        <v>221</v>
      </c>
      <c r="C361" s="254"/>
      <c r="D361" s="254"/>
      <c r="E361" s="254"/>
      <c r="F361" s="254"/>
      <c r="G361" s="254"/>
      <c r="H361" s="254"/>
      <c r="I361" s="254"/>
      <c r="J361" s="254"/>
      <c r="K361" s="254"/>
    </row>
    <row r="362" spans="1:11" ht="21">
      <c r="A362" s="4"/>
      <c r="B362" s="5" t="s">
        <v>8</v>
      </c>
      <c r="C362" s="6">
        <v>1.53</v>
      </c>
      <c r="D362" s="7"/>
      <c r="E362" s="7"/>
      <c r="F362" s="7"/>
      <c r="G362" s="8">
        <v>3</v>
      </c>
      <c r="H362" s="78">
        <v>3</v>
      </c>
      <c r="I362" s="78">
        <v>3</v>
      </c>
      <c r="J362" s="78">
        <v>3</v>
      </c>
      <c r="K362" s="84" t="s">
        <v>204</v>
      </c>
    </row>
    <row r="363" spans="1:11" ht="21" customHeight="1">
      <c r="A363" s="77" t="s">
        <v>222</v>
      </c>
      <c r="B363" s="253" t="s">
        <v>223</v>
      </c>
      <c r="C363" s="254"/>
      <c r="D363" s="254"/>
      <c r="E363" s="254"/>
      <c r="F363" s="254"/>
      <c r="G363" s="254"/>
      <c r="H363" s="254"/>
      <c r="I363" s="254"/>
      <c r="J363" s="254"/>
      <c r="K363" s="254"/>
    </row>
    <row r="364" spans="1:11" ht="21">
      <c r="A364" s="4"/>
      <c r="B364" s="5" t="s">
        <v>8</v>
      </c>
      <c r="C364" s="6">
        <v>1.54</v>
      </c>
      <c r="D364" s="7"/>
      <c r="E364" s="7"/>
      <c r="F364" s="7"/>
      <c r="G364" s="8">
        <v>1</v>
      </c>
      <c r="H364" s="78">
        <v>1</v>
      </c>
      <c r="I364" s="78">
        <v>1.5</v>
      </c>
      <c r="J364" s="78">
        <v>1.5</v>
      </c>
      <c r="K364" s="84" t="s">
        <v>224</v>
      </c>
    </row>
    <row r="365" spans="1:11" ht="21" customHeight="1">
      <c r="A365" s="77" t="s">
        <v>225</v>
      </c>
      <c r="B365" s="253" t="s">
        <v>226</v>
      </c>
      <c r="C365" s="254"/>
      <c r="D365" s="254"/>
      <c r="E365" s="254"/>
      <c r="F365" s="254"/>
      <c r="G365" s="254"/>
      <c r="H365" s="254"/>
      <c r="I365" s="254"/>
      <c r="J365" s="254"/>
      <c r="K365" s="254"/>
    </row>
    <row r="366" spans="1:11" ht="21">
      <c r="A366" s="9"/>
      <c r="B366" s="5" t="s">
        <v>8</v>
      </c>
      <c r="C366" s="6">
        <v>1.53</v>
      </c>
      <c r="D366" s="7"/>
      <c r="E366" s="7"/>
      <c r="F366" s="7"/>
      <c r="G366" s="8">
        <v>5</v>
      </c>
      <c r="H366" s="78">
        <v>5</v>
      </c>
      <c r="I366" s="78">
        <v>5</v>
      </c>
      <c r="J366" s="78">
        <v>5</v>
      </c>
      <c r="K366" s="84" t="s">
        <v>38</v>
      </c>
    </row>
    <row r="367" spans="1:11" ht="21" customHeight="1">
      <c r="A367" s="9"/>
      <c r="B367" s="11" t="s">
        <v>11</v>
      </c>
      <c r="C367" s="12">
        <v>1.53</v>
      </c>
      <c r="D367" s="13"/>
      <c r="E367" s="13"/>
      <c r="F367" s="13"/>
      <c r="G367" s="102">
        <v>4</v>
      </c>
      <c r="H367" s="102">
        <v>4</v>
      </c>
      <c r="I367" s="102">
        <v>4</v>
      </c>
      <c r="J367" s="102">
        <v>4</v>
      </c>
      <c r="K367" s="102">
        <v>4</v>
      </c>
    </row>
    <row r="368" spans="1:11" ht="21">
      <c r="A368" s="9"/>
      <c r="B368" s="11" t="s">
        <v>13</v>
      </c>
      <c r="C368" s="12">
        <v>1.53</v>
      </c>
      <c r="D368" s="13"/>
      <c r="E368" s="13"/>
      <c r="F368" s="13"/>
      <c r="G368" s="102">
        <v>3</v>
      </c>
      <c r="H368" s="79">
        <v>4</v>
      </c>
      <c r="I368" s="79">
        <v>4</v>
      </c>
      <c r="J368" s="79">
        <v>4</v>
      </c>
      <c r="K368" s="79">
        <v>4</v>
      </c>
    </row>
    <row r="369" spans="1:11" ht="21">
      <c r="A369" s="9"/>
      <c r="B369" s="11" t="s">
        <v>15</v>
      </c>
      <c r="C369" s="12">
        <v>1.53</v>
      </c>
      <c r="D369" s="13"/>
      <c r="E369" s="13"/>
      <c r="F369" s="13"/>
      <c r="G369" s="14">
        <v>4</v>
      </c>
      <c r="H369" s="79">
        <v>4</v>
      </c>
      <c r="I369" s="79">
        <v>4</v>
      </c>
      <c r="J369" s="79">
        <v>4</v>
      </c>
      <c r="K369" s="79">
        <v>4</v>
      </c>
    </row>
    <row r="370" spans="1:11" ht="21">
      <c r="A370" s="9"/>
      <c r="B370" s="11" t="s">
        <v>16</v>
      </c>
      <c r="C370" s="12">
        <v>1.53</v>
      </c>
      <c r="D370" s="13"/>
      <c r="E370" s="13"/>
      <c r="F370" s="13"/>
      <c r="G370" s="14">
        <v>4</v>
      </c>
      <c r="H370" s="79">
        <v>4</v>
      </c>
      <c r="I370" s="79">
        <v>4</v>
      </c>
      <c r="J370" s="79">
        <v>5</v>
      </c>
      <c r="K370" s="79">
        <v>5</v>
      </c>
    </row>
    <row r="371" spans="1:11" ht="21">
      <c r="A371" s="9"/>
      <c r="B371" s="11" t="s">
        <v>17</v>
      </c>
      <c r="C371" s="12">
        <v>1.53</v>
      </c>
      <c r="D371" s="13"/>
      <c r="E371" s="13"/>
      <c r="F371" s="13"/>
      <c r="G371" s="14">
        <v>4</v>
      </c>
      <c r="H371" s="79">
        <v>4</v>
      </c>
      <c r="I371" s="79">
        <v>4</v>
      </c>
      <c r="J371" s="79">
        <v>4</v>
      </c>
      <c r="K371" s="79">
        <v>4</v>
      </c>
    </row>
    <row r="372" spans="1:11" ht="21">
      <c r="A372" s="9"/>
      <c r="B372" s="11" t="s">
        <v>18</v>
      </c>
      <c r="C372" s="12">
        <v>1.53</v>
      </c>
      <c r="D372" s="13"/>
      <c r="E372" s="13"/>
      <c r="F372" s="13"/>
      <c r="G372" s="14">
        <v>3</v>
      </c>
      <c r="H372" s="79">
        <v>4</v>
      </c>
      <c r="I372" s="79">
        <v>5</v>
      </c>
      <c r="J372" s="79">
        <v>5</v>
      </c>
      <c r="K372" s="79">
        <v>5</v>
      </c>
    </row>
    <row r="373" spans="1:11" ht="21">
      <c r="A373" s="4"/>
      <c r="B373" s="17" t="s">
        <v>35</v>
      </c>
      <c r="C373" s="6">
        <v>1.53</v>
      </c>
      <c r="D373" s="10" t="s">
        <v>119</v>
      </c>
      <c r="E373" s="10" t="s">
        <v>119</v>
      </c>
      <c r="F373" s="10" t="s">
        <v>119</v>
      </c>
      <c r="G373" s="8">
        <v>5</v>
      </c>
      <c r="H373" s="78">
        <v>5</v>
      </c>
      <c r="I373" s="78">
        <v>5</v>
      </c>
      <c r="J373" s="78">
        <v>5</v>
      </c>
      <c r="K373" s="78">
        <v>5</v>
      </c>
    </row>
    <row r="374" spans="1:11" ht="21">
      <c r="A374" s="77" t="s">
        <v>227</v>
      </c>
      <c r="B374" s="253" t="s">
        <v>228</v>
      </c>
      <c r="C374" s="254"/>
      <c r="D374" s="254"/>
      <c r="E374" s="254"/>
      <c r="F374" s="254"/>
      <c r="G374" s="254"/>
      <c r="H374" s="254"/>
      <c r="I374" s="254"/>
      <c r="J374" s="254"/>
      <c r="K374" s="254"/>
    </row>
    <row r="375" spans="1:11" ht="21">
      <c r="A375" s="4"/>
      <c r="B375" s="5" t="s">
        <v>8</v>
      </c>
      <c r="C375" s="6">
        <v>1.53</v>
      </c>
      <c r="D375" s="7"/>
      <c r="E375" s="7"/>
      <c r="F375" s="7"/>
      <c r="G375" s="8">
        <v>8</v>
      </c>
      <c r="H375" s="78">
        <v>8</v>
      </c>
      <c r="I375" s="78">
        <v>8</v>
      </c>
      <c r="J375" s="78">
        <v>8</v>
      </c>
      <c r="K375" s="84" t="s">
        <v>135</v>
      </c>
    </row>
    <row r="376" spans="1:11" ht="21" customHeight="1">
      <c r="A376" s="77" t="s">
        <v>229</v>
      </c>
      <c r="B376" s="253" t="s">
        <v>230</v>
      </c>
      <c r="C376" s="254"/>
      <c r="D376" s="254"/>
      <c r="E376" s="254"/>
      <c r="F376" s="254"/>
      <c r="G376" s="254"/>
      <c r="H376" s="254"/>
      <c r="I376" s="254"/>
      <c r="J376" s="254"/>
      <c r="K376" s="254"/>
    </row>
    <row r="377" spans="1:11" ht="21">
      <c r="A377" s="9"/>
      <c r="B377" s="5" t="s">
        <v>8</v>
      </c>
      <c r="C377" s="6">
        <v>1.54</v>
      </c>
      <c r="D377" s="26">
        <v>34.66666666666667</v>
      </c>
      <c r="E377" s="26">
        <v>60.66666666666667</v>
      </c>
      <c r="F377" s="33">
        <v>62.5</v>
      </c>
      <c r="G377" s="8">
        <v>60</v>
      </c>
      <c r="H377" s="78">
        <v>60</v>
      </c>
      <c r="I377" s="78">
        <v>60</v>
      </c>
      <c r="J377" s="78">
        <v>60</v>
      </c>
      <c r="K377" s="78">
        <v>60</v>
      </c>
    </row>
    <row r="378" spans="1:11" ht="21" customHeight="1">
      <c r="A378" s="9"/>
      <c r="B378" s="11" t="s">
        <v>11</v>
      </c>
      <c r="C378" s="12">
        <v>1.54</v>
      </c>
      <c r="D378" s="161">
        <v>19.230769230769234</v>
      </c>
      <c r="E378" s="161">
        <v>44</v>
      </c>
      <c r="F378" s="34">
        <v>56</v>
      </c>
      <c r="G378" s="14">
        <v>65</v>
      </c>
      <c r="H378" s="79">
        <v>65</v>
      </c>
      <c r="I378" s="79">
        <v>70</v>
      </c>
      <c r="J378" s="79">
        <v>70</v>
      </c>
      <c r="K378" s="80" t="s">
        <v>140</v>
      </c>
    </row>
    <row r="379" spans="1:11" ht="21">
      <c r="A379" s="9"/>
      <c r="B379" s="11" t="s">
        <v>13</v>
      </c>
      <c r="C379" s="12">
        <v>1.54</v>
      </c>
      <c r="D379" s="161">
        <v>59.25925925925925</v>
      </c>
      <c r="E379" s="209">
        <v>69.23</v>
      </c>
      <c r="F379" s="34">
        <v>66.66666666666666</v>
      </c>
      <c r="G379" s="14">
        <v>55</v>
      </c>
      <c r="H379" s="79">
        <v>55</v>
      </c>
      <c r="I379" s="79">
        <v>60</v>
      </c>
      <c r="J379" s="79">
        <v>60</v>
      </c>
      <c r="K379" s="80" t="s">
        <v>164</v>
      </c>
    </row>
    <row r="380" spans="1:11" s="187" customFormat="1" ht="21">
      <c r="A380" s="180"/>
      <c r="B380" s="181" t="s">
        <v>15</v>
      </c>
      <c r="C380" s="182">
        <v>1.54</v>
      </c>
      <c r="D380" s="195">
        <v>50</v>
      </c>
      <c r="E380" s="184">
        <v>63.41</v>
      </c>
      <c r="F380" s="198">
        <v>68.18181818181817</v>
      </c>
      <c r="G380" s="185">
        <v>60</v>
      </c>
      <c r="H380" s="185">
        <v>60</v>
      </c>
      <c r="I380" s="185">
        <v>60</v>
      </c>
      <c r="J380" s="185">
        <v>60</v>
      </c>
      <c r="K380" s="185">
        <v>60</v>
      </c>
    </row>
    <row r="381" spans="1:11" ht="21">
      <c r="A381" s="9"/>
      <c r="B381" s="11" t="s">
        <v>16</v>
      </c>
      <c r="C381" s="12">
        <v>1.54</v>
      </c>
      <c r="D381" s="173">
        <v>17.39</v>
      </c>
      <c r="E381" s="173">
        <v>87.5</v>
      </c>
      <c r="F381" s="33">
        <v>85</v>
      </c>
      <c r="G381" s="102">
        <v>80</v>
      </c>
      <c r="H381" s="102">
        <v>82</v>
      </c>
      <c r="I381" s="102">
        <v>83</v>
      </c>
      <c r="J381" s="102">
        <v>85</v>
      </c>
      <c r="K381" s="103" t="s">
        <v>12</v>
      </c>
    </row>
    <row r="382" spans="1:11" ht="21">
      <c r="A382" s="9"/>
      <c r="B382" s="11" t="s">
        <v>17</v>
      </c>
      <c r="C382" s="12">
        <v>1.54</v>
      </c>
      <c r="D382" s="161">
        <v>33.33333333333333</v>
      </c>
      <c r="E382" s="161">
        <v>80</v>
      </c>
      <c r="F382" s="34">
        <v>57.14285714285714</v>
      </c>
      <c r="G382" s="14">
        <v>80</v>
      </c>
      <c r="H382" s="79">
        <v>80</v>
      </c>
      <c r="I382" s="79">
        <v>80</v>
      </c>
      <c r="J382" s="79">
        <v>80</v>
      </c>
      <c r="K382" s="79">
        <v>80</v>
      </c>
    </row>
    <row r="383" spans="1:11" ht="21">
      <c r="A383" s="9"/>
      <c r="B383" s="11" t="s">
        <v>18</v>
      </c>
      <c r="C383" s="12">
        <v>1.54</v>
      </c>
      <c r="D383" s="161">
        <v>10</v>
      </c>
      <c r="E383" s="209">
        <v>19.05</v>
      </c>
      <c r="F383" s="34">
        <v>72.73</v>
      </c>
      <c r="G383" s="14">
        <v>80</v>
      </c>
      <c r="H383" s="79">
        <v>80</v>
      </c>
      <c r="I383" s="79">
        <v>80</v>
      </c>
      <c r="J383" s="90">
        <v>80</v>
      </c>
      <c r="K383" s="80" t="s">
        <v>120</v>
      </c>
    </row>
    <row r="384" spans="1:11" ht="21">
      <c r="A384" s="4"/>
      <c r="B384" s="17" t="s">
        <v>35</v>
      </c>
      <c r="C384" s="6">
        <v>1.54</v>
      </c>
      <c r="D384" s="171">
        <v>37.03703703703704</v>
      </c>
      <c r="E384" s="171">
        <v>48.28</v>
      </c>
      <c r="F384" s="33">
        <v>43.33</v>
      </c>
      <c r="G384" s="8">
        <v>60</v>
      </c>
      <c r="H384" s="78">
        <v>60</v>
      </c>
      <c r="I384" s="78">
        <v>60</v>
      </c>
      <c r="J384" s="78">
        <v>60</v>
      </c>
      <c r="K384" s="78">
        <v>60</v>
      </c>
    </row>
    <row r="385" spans="1:11" ht="21">
      <c r="A385" s="77" t="s">
        <v>231</v>
      </c>
      <c r="B385" s="253" t="s">
        <v>232</v>
      </c>
      <c r="C385" s="254"/>
      <c r="D385" s="254"/>
      <c r="E385" s="254"/>
      <c r="F385" s="254"/>
      <c r="G385" s="254"/>
      <c r="H385" s="254"/>
      <c r="I385" s="254"/>
      <c r="J385" s="254"/>
      <c r="K385" s="254"/>
    </row>
    <row r="386" spans="1:11" ht="21">
      <c r="A386" s="9"/>
      <c r="B386" s="5" t="s">
        <v>8</v>
      </c>
      <c r="C386" s="6">
        <v>1.53</v>
      </c>
      <c r="D386" s="35">
        <v>26213.62958333333</v>
      </c>
      <c r="E386" s="35">
        <v>26392.542108433736</v>
      </c>
      <c r="F386" s="35">
        <v>27575.59</v>
      </c>
      <c r="G386" s="31">
        <v>26000</v>
      </c>
      <c r="H386" s="88">
        <v>27000</v>
      </c>
      <c r="I386" s="88">
        <v>28000</v>
      </c>
      <c r="J386" s="88">
        <v>28000</v>
      </c>
      <c r="K386" s="88">
        <v>28000</v>
      </c>
    </row>
    <row r="387" spans="1:12" ht="21" customHeight="1">
      <c r="A387" s="9"/>
      <c r="B387" s="11" t="s">
        <v>11</v>
      </c>
      <c r="C387" s="12">
        <v>1.53</v>
      </c>
      <c r="D387" s="178">
        <f>276990.79/27</f>
        <v>10258.918148148148</v>
      </c>
      <c r="E387" s="178">
        <f>135477.6/26</f>
        <v>5210.676923076923</v>
      </c>
      <c r="F387" s="44">
        <f>523752.87/26</f>
        <v>20144.341153846155</v>
      </c>
      <c r="G387" s="295">
        <v>10000</v>
      </c>
      <c r="H387" s="295">
        <v>10000</v>
      </c>
      <c r="I387" s="295">
        <v>10000</v>
      </c>
      <c r="J387" s="295">
        <v>10000</v>
      </c>
      <c r="K387" s="295">
        <v>10000</v>
      </c>
      <c r="L387" s="210"/>
    </row>
    <row r="388" spans="1:11" ht="21">
      <c r="A388" s="9"/>
      <c r="B388" s="11" t="s">
        <v>13</v>
      </c>
      <c r="C388" s="12">
        <v>1.53</v>
      </c>
      <c r="D388" s="178">
        <f>278839.5/28</f>
        <v>9958.55357142857</v>
      </c>
      <c r="E388" s="178">
        <f>364492/27</f>
        <v>13499.703703703704</v>
      </c>
      <c r="F388" s="44">
        <f>617643.12/30</f>
        <v>20588.104</v>
      </c>
      <c r="G388" s="111">
        <v>20000</v>
      </c>
      <c r="H388" s="111">
        <v>20000</v>
      </c>
      <c r="I388" s="111">
        <v>20000</v>
      </c>
      <c r="J388" s="111">
        <v>20000</v>
      </c>
      <c r="K388" s="111">
        <v>20000</v>
      </c>
    </row>
    <row r="389" spans="1:12" ht="21">
      <c r="A389" s="9"/>
      <c r="B389" s="11" t="s">
        <v>15</v>
      </c>
      <c r="C389" s="12">
        <v>1.53</v>
      </c>
      <c r="D389" s="178">
        <f>301969.5/24</f>
        <v>12582.0625</v>
      </c>
      <c r="E389" s="178">
        <f>416865.6/22.5</f>
        <v>18527.36</v>
      </c>
      <c r="F389" s="44">
        <f>1281234.4/24</f>
        <v>53384.76666666666</v>
      </c>
      <c r="G389" s="40">
        <v>13000</v>
      </c>
      <c r="H389" s="90">
        <v>13000</v>
      </c>
      <c r="I389" s="90">
        <v>13000</v>
      </c>
      <c r="J389" s="90">
        <v>13000</v>
      </c>
      <c r="K389" s="90">
        <v>13000</v>
      </c>
      <c r="L389" s="210" t="s">
        <v>545</v>
      </c>
    </row>
    <row r="390" spans="1:12" ht="21">
      <c r="A390" s="9"/>
      <c r="B390" s="11" t="s">
        <v>16</v>
      </c>
      <c r="C390" s="12">
        <v>1.53</v>
      </c>
      <c r="D390" s="178">
        <f>394947.2/24</f>
        <v>16456.133333333335</v>
      </c>
      <c r="E390" s="166">
        <f>58872/24</f>
        <v>2453</v>
      </c>
      <c r="F390" s="44">
        <f>728868.88/21</f>
        <v>34708.04190476191</v>
      </c>
      <c r="G390" s="14">
        <v>20000</v>
      </c>
      <c r="H390" s="79">
        <v>20000</v>
      </c>
      <c r="I390" s="79">
        <v>20000</v>
      </c>
      <c r="J390" s="79">
        <v>20000</v>
      </c>
      <c r="K390" s="80">
        <v>20000</v>
      </c>
      <c r="L390" s="210" t="s">
        <v>545</v>
      </c>
    </row>
    <row r="391" spans="1:12" ht="21">
      <c r="A391" s="9"/>
      <c r="B391" s="11" t="s">
        <v>17</v>
      </c>
      <c r="C391" s="12">
        <v>1.53</v>
      </c>
      <c r="D391" s="178">
        <f>287362.78/16</f>
        <v>17960.17375</v>
      </c>
      <c r="E391" s="178">
        <f>216276.49/16</f>
        <v>13517.280625</v>
      </c>
      <c r="F391" s="44">
        <v>19570</v>
      </c>
      <c r="G391" s="40">
        <v>19000</v>
      </c>
      <c r="H391" s="90">
        <v>19000</v>
      </c>
      <c r="I391" s="90">
        <v>19000</v>
      </c>
      <c r="J391" s="90">
        <v>19000</v>
      </c>
      <c r="K391" s="90">
        <v>19000</v>
      </c>
      <c r="L391" s="210" t="s">
        <v>545</v>
      </c>
    </row>
    <row r="392" spans="1:12" ht="21">
      <c r="A392" s="9"/>
      <c r="B392" s="11" t="s">
        <v>18</v>
      </c>
      <c r="C392" s="12">
        <v>1.53</v>
      </c>
      <c r="D392" s="178">
        <f>294658.1/13</f>
        <v>22666.007692307692</v>
      </c>
      <c r="E392" s="178">
        <f>496973.34/13.5</f>
        <v>36812.840000000004</v>
      </c>
      <c r="F392" s="44">
        <f>663173.04/14</f>
        <v>47369.50285714286</v>
      </c>
      <c r="G392" s="40">
        <v>10000</v>
      </c>
      <c r="H392" s="90">
        <v>12000</v>
      </c>
      <c r="I392" s="90">
        <v>15000</v>
      </c>
      <c r="J392" s="90">
        <v>15000</v>
      </c>
      <c r="K392" s="80" t="s">
        <v>233</v>
      </c>
      <c r="L392" s="210" t="s">
        <v>545</v>
      </c>
    </row>
    <row r="393" spans="1:11" ht="21">
      <c r="A393" s="4"/>
      <c r="B393" s="17" t="s">
        <v>35</v>
      </c>
      <c r="C393" s="6">
        <v>1.53</v>
      </c>
      <c r="D393" s="166">
        <f>701372.41/36</f>
        <v>19482.566944444447</v>
      </c>
      <c r="E393" s="166">
        <f>1037857.92/37</f>
        <v>28050.214054054057</v>
      </c>
      <c r="F393" s="35">
        <f>464253.86/40</f>
        <v>11606.3465</v>
      </c>
      <c r="G393" s="244">
        <v>30000</v>
      </c>
      <c r="H393" s="244">
        <v>32000</v>
      </c>
      <c r="I393" s="244">
        <v>32000</v>
      </c>
      <c r="J393" s="244">
        <v>35000</v>
      </c>
      <c r="K393" s="244">
        <v>35000</v>
      </c>
    </row>
    <row r="394" spans="1:11" ht="21">
      <c r="A394" s="77" t="s">
        <v>234</v>
      </c>
      <c r="B394" s="253" t="s">
        <v>235</v>
      </c>
      <c r="C394" s="254"/>
      <c r="D394" s="254"/>
      <c r="E394" s="254"/>
      <c r="F394" s="254"/>
      <c r="G394" s="254"/>
      <c r="H394" s="254"/>
      <c r="I394" s="254"/>
      <c r="J394" s="254"/>
      <c r="K394" s="254"/>
    </row>
    <row r="395" spans="1:11" ht="21">
      <c r="A395" s="9"/>
      <c r="B395" s="5" t="s">
        <v>8</v>
      </c>
      <c r="C395" s="6">
        <v>1.53</v>
      </c>
      <c r="D395" s="10">
        <v>100</v>
      </c>
      <c r="E395" s="10">
        <v>100</v>
      </c>
      <c r="F395" s="10">
        <v>100</v>
      </c>
      <c r="G395" s="8">
        <v>100</v>
      </c>
      <c r="H395" s="78">
        <v>100</v>
      </c>
      <c r="I395" s="78">
        <v>100</v>
      </c>
      <c r="J395" s="78">
        <v>100</v>
      </c>
      <c r="K395" s="78">
        <v>100</v>
      </c>
    </row>
    <row r="396" spans="1:11" ht="21" customHeight="1">
      <c r="A396" s="9"/>
      <c r="B396" s="11" t="s">
        <v>11</v>
      </c>
      <c r="C396" s="12">
        <v>1.53</v>
      </c>
      <c r="D396" s="209">
        <v>100</v>
      </c>
      <c r="E396" s="209">
        <v>100</v>
      </c>
      <c r="F396" s="16">
        <v>100</v>
      </c>
      <c r="G396" s="14">
        <v>100</v>
      </c>
      <c r="H396" s="14">
        <v>100</v>
      </c>
      <c r="I396" s="14">
        <v>100</v>
      </c>
      <c r="J396" s="14">
        <v>100</v>
      </c>
      <c r="K396" s="14">
        <v>100</v>
      </c>
    </row>
    <row r="397" spans="1:11" ht="21">
      <c r="A397" s="9"/>
      <c r="B397" s="11" t="s">
        <v>13</v>
      </c>
      <c r="C397" s="12">
        <v>1.53</v>
      </c>
      <c r="D397" s="209">
        <v>100</v>
      </c>
      <c r="E397" s="209">
        <v>100</v>
      </c>
      <c r="F397" s="16">
        <v>100</v>
      </c>
      <c r="G397" s="14">
        <v>100</v>
      </c>
      <c r="H397" s="14">
        <v>100</v>
      </c>
      <c r="I397" s="14">
        <v>100</v>
      </c>
      <c r="J397" s="14">
        <v>100</v>
      </c>
      <c r="K397" s="14">
        <v>100</v>
      </c>
    </row>
    <row r="398" spans="1:11" ht="21">
      <c r="A398" s="9"/>
      <c r="B398" s="11" t="s">
        <v>15</v>
      </c>
      <c r="C398" s="12">
        <v>1.53</v>
      </c>
      <c r="D398" s="209">
        <v>100</v>
      </c>
      <c r="E398" s="209">
        <v>100</v>
      </c>
      <c r="F398" s="16">
        <v>100</v>
      </c>
      <c r="G398" s="14">
        <v>100</v>
      </c>
      <c r="H398" s="79">
        <v>100</v>
      </c>
      <c r="I398" s="79">
        <v>100</v>
      </c>
      <c r="J398" s="79">
        <v>100</v>
      </c>
      <c r="K398" s="79">
        <v>100</v>
      </c>
    </row>
    <row r="399" spans="1:11" ht="21">
      <c r="A399" s="9"/>
      <c r="B399" s="11" t="s">
        <v>16</v>
      </c>
      <c r="C399" s="12">
        <v>1.53</v>
      </c>
      <c r="D399" s="10">
        <v>100</v>
      </c>
      <c r="E399" s="10">
        <v>100</v>
      </c>
      <c r="F399" s="16">
        <v>100</v>
      </c>
      <c r="G399" s="14">
        <v>100</v>
      </c>
      <c r="H399" s="14">
        <v>100</v>
      </c>
      <c r="I399" s="14">
        <v>100</v>
      </c>
      <c r="J399" s="14">
        <v>100</v>
      </c>
      <c r="K399" s="14">
        <v>100</v>
      </c>
    </row>
    <row r="400" spans="1:11" ht="21">
      <c r="A400" s="9"/>
      <c r="B400" s="11" t="s">
        <v>17</v>
      </c>
      <c r="C400" s="12">
        <v>1.53</v>
      </c>
      <c r="D400" s="209">
        <v>100</v>
      </c>
      <c r="E400" s="209">
        <v>100</v>
      </c>
      <c r="F400" s="16">
        <v>100</v>
      </c>
      <c r="G400" s="14">
        <v>100</v>
      </c>
      <c r="H400" s="79">
        <v>100</v>
      </c>
      <c r="I400" s="79">
        <v>100</v>
      </c>
      <c r="J400" s="79">
        <v>100</v>
      </c>
      <c r="K400" s="80" t="s">
        <v>98</v>
      </c>
    </row>
    <row r="401" spans="1:11" ht="21">
      <c r="A401" s="9"/>
      <c r="B401" s="11" t="s">
        <v>18</v>
      </c>
      <c r="C401" s="12">
        <v>1.53</v>
      </c>
      <c r="D401" s="209">
        <v>100</v>
      </c>
      <c r="E401" s="209">
        <v>100</v>
      </c>
      <c r="F401" s="16">
        <v>100</v>
      </c>
      <c r="G401" s="14">
        <v>100</v>
      </c>
      <c r="H401" s="79">
        <v>100</v>
      </c>
      <c r="I401" s="79">
        <v>100</v>
      </c>
      <c r="J401" s="79">
        <v>100</v>
      </c>
      <c r="K401" s="80" t="s">
        <v>98</v>
      </c>
    </row>
    <row r="402" spans="1:11" ht="21">
      <c r="A402" s="9"/>
      <c r="B402" s="11" t="s">
        <v>35</v>
      </c>
      <c r="C402" s="12">
        <v>1.53</v>
      </c>
      <c r="D402" s="16">
        <v>100</v>
      </c>
      <c r="E402" s="16">
        <v>100</v>
      </c>
      <c r="F402" s="16">
        <v>100</v>
      </c>
      <c r="G402" s="14">
        <v>100</v>
      </c>
      <c r="H402" s="79">
        <v>100</v>
      </c>
      <c r="I402" s="79">
        <v>100</v>
      </c>
      <c r="J402" s="79">
        <v>100</v>
      </c>
      <c r="K402" s="79">
        <v>100</v>
      </c>
    </row>
    <row r="403" spans="1:11" ht="21">
      <c r="A403" s="9"/>
      <c r="B403" s="11" t="s">
        <v>19</v>
      </c>
      <c r="C403" s="12">
        <v>1.53</v>
      </c>
      <c r="D403" s="16">
        <v>100</v>
      </c>
      <c r="E403" s="16">
        <v>100</v>
      </c>
      <c r="F403" s="16">
        <v>100</v>
      </c>
      <c r="G403" s="14">
        <v>100</v>
      </c>
      <c r="H403" s="79">
        <v>100</v>
      </c>
      <c r="I403" s="79">
        <v>100</v>
      </c>
      <c r="J403" s="79">
        <v>100</v>
      </c>
      <c r="K403" s="79">
        <v>100</v>
      </c>
    </row>
    <row r="404" spans="1:11" ht="21">
      <c r="A404" s="4"/>
      <c r="B404" s="17" t="s">
        <v>20</v>
      </c>
      <c r="C404" s="6">
        <v>1.53</v>
      </c>
      <c r="D404" s="10">
        <v>100</v>
      </c>
      <c r="E404" s="10">
        <v>100</v>
      </c>
      <c r="F404" s="10">
        <v>100</v>
      </c>
      <c r="G404" s="14">
        <v>100</v>
      </c>
      <c r="H404" s="14">
        <v>100</v>
      </c>
      <c r="I404" s="14">
        <v>100</v>
      </c>
      <c r="J404" s="14">
        <v>100</v>
      </c>
      <c r="K404" s="14">
        <v>100</v>
      </c>
    </row>
    <row r="405" spans="1:11" ht="21">
      <c r="A405" s="77" t="s">
        <v>236</v>
      </c>
      <c r="B405" s="253" t="s">
        <v>237</v>
      </c>
      <c r="C405" s="254"/>
      <c r="D405" s="254"/>
      <c r="E405" s="254"/>
      <c r="F405" s="254"/>
      <c r="G405" s="254"/>
      <c r="H405" s="254"/>
      <c r="I405" s="254"/>
      <c r="J405" s="254"/>
      <c r="K405" s="254"/>
    </row>
    <row r="406" spans="1:11" ht="21">
      <c r="A406" s="9"/>
      <c r="B406" s="5" t="s">
        <v>8</v>
      </c>
      <c r="C406" s="6">
        <v>1.53</v>
      </c>
      <c r="D406" s="35">
        <v>3</v>
      </c>
      <c r="E406" s="35">
        <v>3</v>
      </c>
      <c r="F406" s="25">
        <v>3</v>
      </c>
      <c r="G406" s="28">
        <v>3</v>
      </c>
      <c r="H406" s="85">
        <v>3</v>
      </c>
      <c r="I406" s="85">
        <v>3</v>
      </c>
      <c r="J406" s="85">
        <v>3</v>
      </c>
      <c r="K406" s="85">
        <v>3</v>
      </c>
    </row>
    <row r="407" spans="1:11" ht="21" customHeight="1">
      <c r="A407" s="9"/>
      <c r="B407" s="11" t="s">
        <v>11</v>
      </c>
      <c r="C407" s="12">
        <v>1.53</v>
      </c>
      <c r="D407" s="13"/>
      <c r="E407" s="13"/>
      <c r="F407" s="13"/>
      <c r="G407" s="14">
        <v>3</v>
      </c>
      <c r="H407" s="79">
        <v>3</v>
      </c>
      <c r="I407" s="79">
        <v>3</v>
      </c>
      <c r="J407" s="79">
        <v>3</v>
      </c>
      <c r="K407" s="79">
        <v>3</v>
      </c>
    </row>
    <row r="408" spans="1:11" ht="21">
      <c r="A408" s="9"/>
      <c r="B408" s="11" t="s">
        <v>13</v>
      </c>
      <c r="C408" s="12">
        <v>1.53</v>
      </c>
      <c r="D408" s="13"/>
      <c r="E408" s="13"/>
      <c r="F408" s="13"/>
      <c r="G408" s="14">
        <v>3</v>
      </c>
      <c r="H408" s="79">
        <v>3</v>
      </c>
      <c r="I408" s="79">
        <v>3</v>
      </c>
      <c r="J408" s="79">
        <v>3</v>
      </c>
      <c r="K408" s="79">
        <v>3</v>
      </c>
    </row>
    <row r="409" spans="1:11" ht="21">
      <c r="A409" s="9"/>
      <c r="B409" s="11" t="s">
        <v>15</v>
      </c>
      <c r="C409" s="12">
        <v>1.53</v>
      </c>
      <c r="D409" s="13"/>
      <c r="E409" s="13"/>
      <c r="F409" s="13"/>
      <c r="G409" s="14">
        <v>3</v>
      </c>
      <c r="H409" s="79">
        <v>3</v>
      </c>
      <c r="I409" s="79">
        <v>3</v>
      </c>
      <c r="J409" s="79">
        <v>3</v>
      </c>
      <c r="K409" s="79">
        <v>3</v>
      </c>
    </row>
    <row r="410" spans="1:11" ht="21">
      <c r="A410" s="9"/>
      <c r="B410" s="11" t="s">
        <v>16</v>
      </c>
      <c r="C410" s="12">
        <v>1.53</v>
      </c>
      <c r="D410" s="35">
        <v>0</v>
      </c>
      <c r="E410" s="35">
        <v>1</v>
      </c>
      <c r="F410" s="25">
        <v>0</v>
      </c>
      <c r="G410" s="14">
        <v>3</v>
      </c>
      <c r="H410" s="79">
        <v>3</v>
      </c>
      <c r="I410" s="79">
        <v>3</v>
      </c>
      <c r="J410" s="79">
        <v>3</v>
      </c>
      <c r="K410" s="79">
        <v>3</v>
      </c>
    </row>
    <row r="411" spans="1:11" ht="21">
      <c r="A411" s="9"/>
      <c r="B411" s="11" t="s">
        <v>17</v>
      </c>
      <c r="C411" s="12">
        <v>1.53</v>
      </c>
      <c r="D411" s="13"/>
      <c r="E411" s="13"/>
      <c r="F411" s="13"/>
      <c r="G411" s="14">
        <v>3</v>
      </c>
      <c r="H411" s="79">
        <v>3</v>
      </c>
      <c r="I411" s="79">
        <v>3</v>
      </c>
      <c r="J411" s="79">
        <v>3</v>
      </c>
      <c r="K411" s="79">
        <v>3</v>
      </c>
    </row>
    <row r="412" spans="1:11" ht="21">
      <c r="A412" s="9"/>
      <c r="B412" s="11" t="s">
        <v>18</v>
      </c>
      <c r="C412" s="12">
        <v>1.53</v>
      </c>
      <c r="D412" s="13"/>
      <c r="E412" s="13"/>
      <c r="F412" s="13"/>
      <c r="G412" s="14">
        <v>3</v>
      </c>
      <c r="H412" s="79">
        <v>3</v>
      </c>
      <c r="I412" s="79">
        <v>3</v>
      </c>
      <c r="J412" s="79">
        <v>3</v>
      </c>
      <c r="K412" s="79">
        <v>3</v>
      </c>
    </row>
    <row r="413" spans="1:11" ht="21">
      <c r="A413" s="9"/>
      <c r="B413" s="11" t="s">
        <v>35</v>
      </c>
      <c r="C413" s="12">
        <v>1.53</v>
      </c>
      <c r="D413" s="16">
        <v>3</v>
      </c>
      <c r="E413" s="16">
        <v>3</v>
      </c>
      <c r="F413" s="16">
        <v>3</v>
      </c>
      <c r="G413" s="14">
        <v>3</v>
      </c>
      <c r="H413" s="79">
        <v>3</v>
      </c>
      <c r="I413" s="79">
        <v>3</v>
      </c>
      <c r="J413" s="79">
        <v>3</v>
      </c>
      <c r="K413" s="79">
        <v>3</v>
      </c>
    </row>
    <row r="414" spans="1:11" ht="21">
      <c r="A414" s="9"/>
      <c r="B414" s="11" t="s">
        <v>19</v>
      </c>
      <c r="C414" s="12">
        <v>1.53</v>
      </c>
      <c r="D414" s="13"/>
      <c r="E414" s="13"/>
      <c r="F414" s="13"/>
      <c r="G414" s="14">
        <v>3</v>
      </c>
      <c r="H414" s="79">
        <v>3</v>
      </c>
      <c r="I414" s="79">
        <v>3</v>
      </c>
      <c r="J414" s="79">
        <v>3</v>
      </c>
      <c r="K414" s="79">
        <v>3</v>
      </c>
    </row>
    <row r="415" spans="1:11" ht="21">
      <c r="A415" s="9"/>
      <c r="B415" s="11" t="s">
        <v>20</v>
      </c>
      <c r="C415" s="12">
        <v>1.53</v>
      </c>
      <c r="D415" s="16">
        <v>3</v>
      </c>
      <c r="E415" s="16">
        <v>3</v>
      </c>
      <c r="F415" s="16">
        <v>3</v>
      </c>
      <c r="G415" s="14">
        <v>3</v>
      </c>
      <c r="H415" s="79">
        <v>3</v>
      </c>
      <c r="I415" s="79">
        <v>3</v>
      </c>
      <c r="J415" s="79">
        <v>3</v>
      </c>
      <c r="K415" s="79">
        <v>3</v>
      </c>
    </row>
    <row r="416" spans="1:11" ht="21">
      <c r="A416" s="9"/>
      <c r="B416" s="11" t="s">
        <v>22</v>
      </c>
      <c r="C416" s="12">
        <v>1.53</v>
      </c>
      <c r="D416" s="13"/>
      <c r="E416" s="13"/>
      <c r="F416" s="13"/>
      <c r="G416" s="14">
        <v>3</v>
      </c>
      <c r="H416" s="79">
        <v>3</v>
      </c>
      <c r="I416" s="79">
        <v>3</v>
      </c>
      <c r="J416" s="79">
        <v>3</v>
      </c>
      <c r="K416" s="79">
        <v>3</v>
      </c>
    </row>
    <row r="417" spans="1:11" ht="21">
      <c r="A417" s="9"/>
      <c r="B417" s="11" t="s">
        <v>24</v>
      </c>
      <c r="C417" s="12">
        <v>1.53</v>
      </c>
      <c r="D417" s="13"/>
      <c r="E417" s="13"/>
      <c r="F417" s="13"/>
      <c r="G417" s="14">
        <v>3</v>
      </c>
      <c r="H417" s="79">
        <v>3</v>
      </c>
      <c r="I417" s="79">
        <v>3</v>
      </c>
      <c r="J417" s="79">
        <v>3</v>
      </c>
      <c r="K417" s="79">
        <v>3</v>
      </c>
    </row>
    <row r="418" spans="1:11" ht="21">
      <c r="A418" s="18"/>
      <c r="B418" s="37" t="s">
        <v>27</v>
      </c>
      <c r="C418" s="20">
        <v>1.53</v>
      </c>
      <c r="D418" s="52"/>
      <c r="E418" s="52"/>
      <c r="F418" s="52"/>
      <c r="G418" s="22">
        <v>3</v>
      </c>
      <c r="H418" s="81">
        <v>3</v>
      </c>
      <c r="I418" s="81">
        <v>3</v>
      </c>
      <c r="J418" s="81">
        <v>3</v>
      </c>
      <c r="K418" s="81">
        <v>3</v>
      </c>
    </row>
    <row r="419" spans="1:11" ht="21">
      <c r="A419" s="82" t="s">
        <v>238</v>
      </c>
      <c r="B419" s="73"/>
      <c r="C419" s="74"/>
      <c r="D419" s="74"/>
      <c r="E419" s="23"/>
      <c r="F419" s="23"/>
      <c r="G419" s="23"/>
      <c r="H419" s="83"/>
      <c r="I419" s="83"/>
      <c r="J419" s="83"/>
      <c r="K419" s="83"/>
    </row>
    <row r="420" spans="1:11" ht="21">
      <c r="A420" s="77" t="s">
        <v>239</v>
      </c>
      <c r="B420" s="253" t="s">
        <v>240</v>
      </c>
      <c r="C420" s="254"/>
      <c r="D420" s="254"/>
      <c r="E420" s="254"/>
      <c r="F420" s="254"/>
      <c r="G420" s="254"/>
      <c r="H420" s="254"/>
      <c r="I420" s="254"/>
      <c r="J420" s="254"/>
      <c r="K420" s="254"/>
    </row>
    <row r="421" spans="1:11" ht="21">
      <c r="A421" s="4"/>
      <c r="B421" s="5" t="s">
        <v>8</v>
      </c>
      <c r="C421" s="6">
        <v>3.33</v>
      </c>
      <c r="D421" s="7"/>
      <c r="E421" s="7"/>
      <c r="F421" s="7"/>
      <c r="G421" s="8">
        <v>7</v>
      </c>
      <c r="H421" s="78">
        <v>7</v>
      </c>
      <c r="I421" s="78">
        <v>7</v>
      </c>
      <c r="J421" s="78">
        <v>7</v>
      </c>
      <c r="K421" s="84" t="s">
        <v>34</v>
      </c>
    </row>
    <row r="422" spans="1:11" ht="21" customHeight="1">
      <c r="A422" s="77" t="s">
        <v>241</v>
      </c>
      <c r="B422" s="253" t="s">
        <v>242</v>
      </c>
      <c r="C422" s="254"/>
      <c r="D422" s="254"/>
      <c r="E422" s="254"/>
      <c r="F422" s="254"/>
      <c r="G422" s="254"/>
      <c r="H422" s="254"/>
      <c r="I422" s="254"/>
      <c r="J422" s="254"/>
      <c r="K422" s="254"/>
    </row>
    <row r="423" spans="1:11" ht="21">
      <c r="A423" s="4"/>
      <c r="B423" s="5" t="s">
        <v>8</v>
      </c>
      <c r="C423" s="6">
        <v>3.34</v>
      </c>
      <c r="D423" s="25">
        <v>3</v>
      </c>
      <c r="E423" s="25">
        <v>4</v>
      </c>
      <c r="F423" s="25">
        <v>4</v>
      </c>
      <c r="G423" s="31">
        <v>4</v>
      </c>
      <c r="H423" s="88">
        <v>4</v>
      </c>
      <c r="I423" s="88">
        <v>4</v>
      </c>
      <c r="J423" s="88">
        <v>4</v>
      </c>
      <c r="K423" s="88">
        <v>4</v>
      </c>
    </row>
    <row r="424" spans="1:11" ht="21" customHeight="1">
      <c r="A424" s="77" t="s">
        <v>243</v>
      </c>
      <c r="B424" s="253" t="s">
        <v>244</v>
      </c>
      <c r="C424" s="254"/>
      <c r="D424" s="254"/>
      <c r="E424" s="254"/>
      <c r="F424" s="254"/>
      <c r="G424" s="254"/>
      <c r="H424" s="254"/>
      <c r="I424" s="254"/>
      <c r="J424" s="254"/>
      <c r="K424" s="254"/>
    </row>
    <row r="425" spans="1:11" ht="21">
      <c r="A425" s="4"/>
      <c r="B425" s="5" t="s">
        <v>8</v>
      </c>
      <c r="C425" s="6">
        <v>3.34</v>
      </c>
      <c r="D425" s="35">
        <v>284891.10710542864</v>
      </c>
      <c r="E425" s="35">
        <v>245756.43041420614</v>
      </c>
      <c r="F425" s="35">
        <v>232722.95</v>
      </c>
      <c r="G425" s="31">
        <v>200000</v>
      </c>
      <c r="H425" s="88">
        <v>200000</v>
      </c>
      <c r="I425" s="88">
        <v>200000</v>
      </c>
      <c r="J425" s="88">
        <v>200000</v>
      </c>
      <c r="K425" s="88">
        <v>200000</v>
      </c>
    </row>
    <row r="426" spans="1:11" ht="21" customHeight="1">
      <c r="A426" s="77" t="s">
        <v>245</v>
      </c>
      <c r="B426" s="253" t="s">
        <v>246</v>
      </c>
      <c r="C426" s="254"/>
      <c r="D426" s="254"/>
      <c r="E426" s="254"/>
      <c r="F426" s="254"/>
      <c r="G426" s="254"/>
      <c r="H426" s="254"/>
      <c r="I426" s="254"/>
      <c r="J426" s="254"/>
      <c r="K426" s="254"/>
    </row>
    <row r="427" spans="1:11" ht="21">
      <c r="A427" s="4"/>
      <c r="B427" s="5" t="s">
        <v>8</v>
      </c>
      <c r="C427" s="6">
        <v>3.33</v>
      </c>
      <c r="D427" s="26">
        <v>19.32141362240078</v>
      </c>
      <c r="E427" s="26">
        <v>27.536636757389292</v>
      </c>
      <c r="F427" s="26">
        <v>16.577160979807864</v>
      </c>
      <c r="G427" s="30">
        <v>20</v>
      </c>
      <c r="H427" s="86">
        <v>18</v>
      </c>
      <c r="I427" s="86">
        <v>15.5</v>
      </c>
      <c r="J427" s="86">
        <v>14</v>
      </c>
      <c r="K427" s="86">
        <v>12.5</v>
      </c>
    </row>
    <row r="428" spans="1:11" ht="21" customHeight="1">
      <c r="A428" s="77" t="s">
        <v>247</v>
      </c>
      <c r="B428" s="253" t="s">
        <v>248</v>
      </c>
      <c r="C428" s="254"/>
      <c r="D428" s="254"/>
      <c r="E428" s="254"/>
      <c r="F428" s="254"/>
      <c r="G428" s="254"/>
      <c r="H428" s="254"/>
      <c r="I428" s="254"/>
      <c r="J428" s="254"/>
      <c r="K428" s="254"/>
    </row>
    <row r="429" spans="1:11" ht="21">
      <c r="A429" s="4"/>
      <c r="B429" s="5" t="s">
        <v>8</v>
      </c>
      <c r="C429" s="6">
        <v>3.33</v>
      </c>
      <c r="D429" s="26">
        <v>5.930606372476531</v>
      </c>
      <c r="E429" s="26">
        <v>8.209166317495148</v>
      </c>
      <c r="F429" s="26">
        <v>13.52100368723983</v>
      </c>
      <c r="G429" s="8">
        <v>5</v>
      </c>
      <c r="H429" s="78">
        <v>5</v>
      </c>
      <c r="I429" s="78">
        <v>5</v>
      </c>
      <c r="J429" s="78">
        <v>5</v>
      </c>
      <c r="K429" s="78">
        <v>5</v>
      </c>
    </row>
    <row r="430" spans="1:11" ht="21" customHeight="1">
      <c r="A430" s="77" t="s">
        <v>249</v>
      </c>
      <c r="B430" s="253" t="s">
        <v>250</v>
      </c>
      <c r="C430" s="254"/>
      <c r="D430" s="254"/>
      <c r="E430" s="254"/>
      <c r="F430" s="254"/>
      <c r="G430" s="254"/>
      <c r="H430" s="254"/>
      <c r="I430" s="254"/>
      <c r="J430" s="254"/>
      <c r="K430" s="254"/>
    </row>
    <row r="431" spans="1:11" ht="21">
      <c r="A431" s="18"/>
      <c r="B431" s="19" t="s">
        <v>8</v>
      </c>
      <c r="C431" s="20">
        <v>3.33</v>
      </c>
      <c r="D431" s="50">
        <v>6167.366785122235</v>
      </c>
      <c r="E431" s="50">
        <v>16924.63036394857</v>
      </c>
      <c r="F431" s="50">
        <v>7152.229767117519</v>
      </c>
      <c r="G431" s="47">
        <v>7000</v>
      </c>
      <c r="H431" s="91">
        <v>7000</v>
      </c>
      <c r="I431" s="91">
        <v>7000</v>
      </c>
      <c r="J431" s="91">
        <v>7500</v>
      </c>
      <c r="K431" s="91">
        <v>7500</v>
      </c>
    </row>
    <row r="432" spans="1:11" ht="21" customHeight="1">
      <c r="A432" s="82" t="s">
        <v>251</v>
      </c>
      <c r="B432" s="73"/>
      <c r="C432" s="74"/>
      <c r="D432" s="74"/>
      <c r="E432" s="23"/>
      <c r="F432" s="23"/>
      <c r="G432" s="23"/>
      <c r="H432" s="83"/>
      <c r="I432" s="83"/>
      <c r="J432" s="83"/>
      <c r="K432" s="83"/>
    </row>
    <row r="433" spans="1:11" ht="21">
      <c r="A433" s="77" t="s">
        <v>252</v>
      </c>
      <c r="B433" s="253" t="s">
        <v>253</v>
      </c>
      <c r="C433" s="254"/>
      <c r="D433" s="254"/>
      <c r="E433" s="254"/>
      <c r="F433" s="254"/>
      <c r="G433" s="254"/>
      <c r="H433" s="254"/>
      <c r="I433" s="254"/>
      <c r="J433" s="254"/>
      <c r="K433" s="254"/>
    </row>
    <row r="434" spans="1:11" ht="21">
      <c r="A434" s="4"/>
      <c r="B434" s="5" t="s">
        <v>8</v>
      </c>
      <c r="C434" s="6">
        <v>5</v>
      </c>
      <c r="D434" s="53"/>
      <c r="E434" s="10">
        <v>5</v>
      </c>
      <c r="F434" s="10">
        <v>5</v>
      </c>
      <c r="G434" s="8">
        <v>5</v>
      </c>
      <c r="H434" s="78">
        <v>5</v>
      </c>
      <c r="I434" s="78">
        <v>5</v>
      </c>
      <c r="J434" s="78">
        <v>5</v>
      </c>
      <c r="K434" s="78">
        <v>5</v>
      </c>
    </row>
    <row r="435" spans="1:11" ht="21" customHeight="1">
      <c r="A435" s="77" t="s">
        <v>254</v>
      </c>
      <c r="B435" s="253" t="s">
        <v>255</v>
      </c>
      <c r="C435" s="254"/>
      <c r="D435" s="254"/>
      <c r="E435" s="254"/>
      <c r="F435" s="254"/>
      <c r="G435" s="254"/>
      <c r="H435" s="254"/>
      <c r="I435" s="254"/>
      <c r="J435" s="254"/>
      <c r="K435" s="254"/>
    </row>
    <row r="436" spans="1:11" ht="21">
      <c r="A436" s="4"/>
      <c r="B436" s="5" t="s">
        <v>8</v>
      </c>
      <c r="C436" s="6">
        <v>5</v>
      </c>
      <c r="D436" s="7"/>
      <c r="E436" s="7"/>
      <c r="F436" s="7"/>
      <c r="G436" s="8">
        <v>3</v>
      </c>
      <c r="H436" s="78">
        <v>4</v>
      </c>
      <c r="I436" s="78">
        <v>4</v>
      </c>
      <c r="J436" s="78">
        <v>4</v>
      </c>
      <c r="K436" s="84" t="s">
        <v>146</v>
      </c>
    </row>
    <row r="437" spans="1:11" ht="21" customHeight="1">
      <c r="A437" s="77" t="s">
        <v>256</v>
      </c>
      <c r="B437" s="253" t="s">
        <v>257</v>
      </c>
      <c r="C437" s="254"/>
      <c r="D437" s="254"/>
      <c r="E437" s="254"/>
      <c r="F437" s="254"/>
      <c r="G437" s="254"/>
      <c r="H437" s="254"/>
      <c r="I437" s="254"/>
      <c r="J437" s="254"/>
      <c r="K437" s="254"/>
    </row>
    <row r="438" spans="1:11" ht="21">
      <c r="A438" s="4"/>
      <c r="B438" s="5" t="s">
        <v>8</v>
      </c>
      <c r="C438" s="6">
        <v>5</v>
      </c>
      <c r="D438" s="35">
        <v>5</v>
      </c>
      <c r="E438" s="35">
        <v>5</v>
      </c>
      <c r="F438" s="25">
        <v>5</v>
      </c>
      <c r="G438" s="8">
        <v>5</v>
      </c>
      <c r="H438" s="78">
        <v>5</v>
      </c>
      <c r="I438" s="78">
        <v>5</v>
      </c>
      <c r="J438" s="78">
        <v>5</v>
      </c>
      <c r="K438" s="78">
        <v>5</v>
      </c>
    </row>
    <row r="439" spans="1:11" ht="21" customHeight="1">
      <c r="A439" s="77" t="s">
        <v>258</v>
      </c>
      <c r="B439" s="253" t="s">
        <v>259</v>
      </c>
      <c r="C439" s="254"/>
      <c r="D439" s="254"/>
      <c r="E439" s="254"/>
      <c r="F439" s="254"/>
      <c r="G439" s="254"/>
      <c r="H439" s="254"/>
      <c r="I439" s="254"/>
      <c r="J439" s="254"/>
      <c r="K439" s="254"/>
    </row>
    <row r="440" spans="1:11" ht="21">
      <c r="A440" s="18"/>
      <c r="B440" s="19" t="s">
        <v>8</v>
      </c>
      <c r="C440" s="20">
        <v>5</v>
      </c>
      <c r="D440" s="52"/>
      <c r="E440" s="52"/>
      <c r="F440" s="52"/>
      <c r="G440" s="22">
        <v>2</v>
      </c>
      <c r="H440" s="81">
        <v>3</v>
      </c>
      <c r="I440" s="81">
        <v>3</v>
      </c>
      <c r="J440" s="81">
        <v>4</v>
      </c>
      <c r="K440" s="94" t="s">
        <v>38</v>
      </c>
    </row>
    <row r="441" spans="1:11" ht="21" customHeight="1">
      <c r="A441" s="82" t="s">
        <v>260</v>
      </c>
      <c r="B441" s="73"/>
      <c r="C441" s="74"/>
      <c r="D441" s="74"/>
      <c r="E441" s="23"/>
      <c r="F441" s="23"/>
      <c r="G441" s="23"/>
      <c r="H441" s="83"/>
      <c r="I441" s="83"/>
      <c r="J441" s="83"/>
      <c r="K441" s="83"/>
    </row>
    <row r="442" spans="1:11" ht="21">
      <c r="A442" s="77" t="s">
        <v>261</v>
      </c>
      <c r="B442" s="253" t="s">
        <v>262</v>
      </c>
      <c r="C442" s="254"/>
      <c r="D442" s="254"/>
      <c r="E442" s="254"/>
      <c r="F442" s="254"/>
      <c r="G442" s="254"/>
      <c r="H442" s="254"/>
      <c r="I442" s="254"/>
      <c r="J442" s="254"/>
      <c r="K442" s="254"/>
    </row>
    <row r="443" spans="1:11" ht="21">
      <c r="A443" s="4"/>
      <c r="B443" s="5" t="s">
        <v>8</v>
      </c>
      <c r="C443" s="6">
        <v>5</v>
      </c>
      <c r="D443" s="33">
        <v>44.31654676258992</v>
      </c>
      <c r="E443" s="33">
        <v>47.13930348258707</v>
      </c>
      <c r="F443" s="33">
        <v>31.911966987620353</v>
      </c>
      <c r="G443" s="30">
        <v>30</v>
      </c>
      <c r="H443" s="86">
        <v>30</v>
      </c>
      <c r="I443" s="86">
        <v>30</v>
      </c>
      <c r="J443" s="86">
        <v>30</v>
      </c>
      <c r="K443" s="86">
        <v>30</v>
      </c>
    </row>
    <row r="444" spans="1:11" ht="21">
      <c r="A444" s="77" t="s">
        <v>263</v>
      </c>
      <c r="B444" s="253" t="s">
        <v>264</v>
      </c>
      <c r="C444" s="254"/>
      <c r="D444" s="254"/>
      <c r="E444" s="254"/>
      <c r="F444" s="254"/>
      <c r="G444" s="254"/>
      <c r="H444" s="254"/>
      <c r="I444" s="254"/>
      <c r="J444" s="254"/>
      <c r="K444" s="254"/>
    </row>
    <row r="445" spans="1:12" ht="21">
      <c r="A445" s="232"/>
      <c r="B445" s="233" t="s">
        <v>8</v>
      </c>
      <c r="C445" s="234">
        <v>5</v>
      </c>
      <c r="D445" s="235">
        <v>74</v>
      </c>
      <c r="E445" s="235">
        <v>116</v>
      </c>
      <c r="F445" s="235">
        <v>82</v>
      </c>
      <c r="G445" s="231" t="s">
        <v>112</v>
      </c>
      <c r="H445" s="231" t="s">
        <v>112</v>
      </c>
      <c r="I445" s="231" t="s">
        <v>112</v>
      </c>
      <c r="J445" s="231" t="s">
        <v>112</v>
      </c>
      <c r="K445" s="231" t="s">
        <v>112</v>
      </c>
      <c r="L445" s="210" t="s">
        <v>557</v>
      </c>
    </row>
    <row r="446" spans="1:11" ht="21" customHeight="1">
      <c r="A446" s="82" t="s">
        <v>265</v>
      </c>
      <c r="B446" s="73"/>
      <c r="C446" s="74"/>
      <c r="D446" s="74"/>
      <c r="E446" s="23"/>
      <c r="F446" s="23"/>
      <c r="G446" s="23"/>
      <c r="H446" s="83"/>
      <c r="I446" s="83"/>
      <c r="J446" s="83"/>
      <c r="K446" s="83"/>
    </row>
    <row r="447" spans="1:11" ht="21">
      <c r="A447" s="77" t="s">
        <v>266</v>
      </c>
      <c r="B447" s="253" t="s">
        <v>267</v>
      </c>
      <c r="C447" s="254"/>
      <c r="D447" s="254"/>
      <c r="E447" s="254"/>
      <c r="F447" s="254"/>
      <c r="G447" s="254"/>
      <c r="H447" s="254"/>
      <c r="I447" s="254"/>
      <c r="J447" s="254"/>
      <c r="K447" s="254"/>
    </row>
    <row r="448" spans="1:11" ht="21">
      <c r="A448" s="95"/>
      <c r="B448" s="96" t="s">
        <v>8</v>
      </c>
      <c r="C448" s="97">
        <v>10</v>
      </c>
      <c r="D448" s="98" t="s">
        <v>21</v>
      </c>
      <c r="E448" s="98">
        <v>11</v>
      </c>
      <c r="F448" s="98">
        <v>12</v>
      </c>
      <c r="G448" s="99">
        <v>5</v>
      </c>
      <c r="H448" s="100">
        <v>5</v>
      </c>
      <c r="I448" s="100">
        <v>5</v>
      </c>
      <c r="J448" s="100">
        <v>5</v>
      </c>
      <c r="K448" s="100">
        <v>5</v>
      </c>
    </row>
    <row r="449" spans="1:11" ht="21" customHeight="1">
      <c r="A449" s="18"/>
      <c r="B449" s="19" t="s">
        <v>27</v>
      </c>
      <c r="C449" s="20">
        <v>10</v>
      </c>
      <c r="D449" s="52"/>
      <c r="E449" s="52"/>
      <c r="F449" s="52"/>
      <c r="G449" s="22">
        <v>1</v>
      </c>
      <c r="H449" s="81">
        <v>1</v>
      </c>
      <c r="I449" s="81">
        <v>1</v>
      </c>
      <c r="J449" s="81">
        <v>1</v>
      </c>
      <c r="K449" s="81">
        <v>1</v>
      </c>
    </row>
    <row r="450" spans="1:11" ht="21">
      <c r="A450" s="82" t="s">
        <v>265</v>
      </c>
      <c r="B450" s="73"/>
      <c r="C450" s="74"/>
      <c r="D450" s="74"/>
      <c r="E450" s="23"/>
      <c r="F450" s="23"/>
      <c r="G450" s="23"/>
      <c r="H450" s="83"/>
      <c r="I450" s="83"/>
      <c r="J450" s="83"/>
      <c r="K450" s="83"/>
    </row>
    <row r="451" spans="1:11" ht="21">
      <c r="A451" s="77" t="s">
        <v>266</v>
      </c>
      <c r="B451" s="253" t="s">
        <v>267</v>
      </c>
      <c r="C451" s="254"/>
      <c r="D451" s="254"/>
      <c r="E451" s="254"/>
      <c r="F451" s="254"/>
      <c r="G451" s="254"/>
      <c r="H451" s="254"/>
      <c r="I451" s="254"/>
      <c r="J451" s="254"/>
      <c r="K451" s="254"/>
    </row>
    <row r="452" spans="1:11" ht="21">
      <c r="A452" s="95"/>
      <c r="B452" s="96" t="s">
        <v>8</v>
      </c>
      <c r="C452" s="97">
        <v>10</v>
      </c>
      <c r="D452" s="98" t="s">
        <v>21</v>
      </c>
      <c r="E452" s="98">
        <v>11</v>
      </c>
      <c r="F452" s="98">
        <v>12</v>
      </c>
      <c r="G452" s="99">
        <v>5</v>
      </c>
      <c r="H452" s="100">
        <v>5</v>
      </c>
      <c r="I452" s="100">
        <v>5</v>
      </c>
      <c r="J452" s="100">
        <v>5</v>
      </c>
      <c r="K452" s="100">
        <v>5</v>
      </c>
    </row>
    <row r="453" spans="1:11" ht="21">
      <c r="A453" s="18"/>
      <c r="B453" s="19" t="s">
        <v>27</v>
      </c>
      <c r="C453" s="20">
        <v>10</v>
      </c>
      <c r="D453" s="52"/>
      <c r="E453" s="52"/>
      <c r="F453" s="52"/>
      <c r="G453" s="22">
        <v>1</v>
      </c>
      <c r="H453" s="81">
        <v>1</v>
      </c>
      <c r="I453" s="81">
        <v>1</v>
      </c>
      <c r="J453" s="81">
        <v>1</v>
      </c>
      <c r="K453" s="81">
        <v>1</v>
      </c>
    </row>
  </sheetData>
  <mergeCells count="85">
    <mergeCell ref="B306:K306"/>
    <mergeCell ref="B309:K309"/>
    <mergeCell ref="B341:K341"/>
    <mergeCell ref="B359:K359"/>
    <mergeCell ref="B311:K311"/>
    <mergeCell ref="B220:K220"/>
    <mergeCell ref="B229:K229"/>
    <mergeCell ref="B274:K274"/>
    <mergeCell ref="B277:K277"/>
    <mergeCell ref="B247:K247"/>
    <mergeCell ref="B256:K256"/>
    <mergeCell ref="B265:K265"/>
    <mergeCell ref="B191:K191"/>
    <mergeCell ref="B193:K193"/>
    <mergeCell ref="B202:K202"/>
    <mergeCell ref="B211:K211"/>
    <mergeCell ref="B112:K112"/>
    <mergeCell ref="B114:K114"/>
    <mergeCell ref="B123:K123"/>
    <mergeCell ref="B132:K132"/>
    <mergeCell ref="B37:K37"/>
    <mergeCell ref="B76:K76"/>
    <mergeCell ref="B67:K67"/>
    <mergeCell ref="B49:K49"/>
    <mergeCell ref="B58:K58"/>
    <mergeCell ref="B27:K27"/>
    <mergeCell ref="G2:K2"/>
    <mergeCell ref="D2:F2"/>
    <mergeCell ref="C2:C3"/>
    <mergeCell ref="A2:B3"/>
    <mergeCell ref="B5:K5"/>
    <mergeCell ref="B7:K7"/>
    <mergeCell ref="B24:K24"/>
    <mergeCell ref="B98:K98"/>
    <mergeCell ref="B107:K107"/>
    <mergeCell ref="B47:K47"/>
    <mergeCell ref="B109:K109"/>
    <mergeCell ref="B78:K78"/>
    <mergeCell ref="B84:K84"/>
    <mergeCell ref="B86:K86"/>
    <mergeCell ref="B88:K88"/>
    <mergeCell ref="B80:K80"/>
    <mergeCell ref="B82:K82"/>
    <mergeCell ref="B361:K361"/>
    <mergeCell ref="B363:K363"/>
    <mergeCell ref="B343:K343"/>
    <mergeCell ref="B313:K313"/>
    <mergeCell ref="B316:K316"/>
    <mergeCell ref="B325:K325"/>
    <mergeCell ref="B141:K141"/>
    <mergeCell ref="B145:K145"/>
    <mergeCell ref="B170:K170"/>
    <mergeCell ref="B238:K238"/>
    <mergeCell ref="B147:K147"/>
    <mergeCell ref="B156:K156"/>
    <mergeCell ref="B166:K166"/>
    <mergeCell ref="B168:K168"/>
    <mergeCell ref="B179:K179"/>
    <mergeCell ref="B189:K189"/>
    <mergeCell ref="B297:K297"/>
    <mergeCell ref="B300:K300"/>
    <mergeCell ref="B279:K279"/>
    <mergeCell ref="B288:K288"/>
    <mergeCell ref="B302:K302"/>
    <mergeCell ref="B304:K304"/>
    <mergeCell ref="B424:K424"/>
    <mergeCell ref="B365:K365"/>
    <mergeCell ref="B385:K385"/>
    <mergeCell ref="B394:K394"/>
    <mergeCell ref="B405:K405"/>
    <mergeCell ref="B420:K420"/>
    <mergeCell ref="B422:K422"/>
    <mergeCell ref="B374:K374"/>
    <mergeCell ref="B376:K376"/>
    <mergeCell ref="B426:K426"/>
    <mergeCell ref="B428:K428"/>
    <mergeCell ref="B430:K430"/>
    <mergeCell ref="B433:K433"/>
    <mergeCell ref="B451:K451"/>
    <mergeCell ref="B437:K437"/>
    <mergeCell ref="B439:K439"/>
    <mergeCell ref="B435:K435"/>
    <mergeCell ref="B442:K442"/>
    <mergeCell ref="B444:K444"/>
    <mergeCell ref="B447:K447"/>
  </mergeCells>
  <printOptions/>
  <pageMargins left="0.7874015748031497" right="0.7874015748031497" top="0.7874015748031497" bottom="0.7874015748031497" header="0.5118110236220472" footer="0.3937007874015748"/>
  <pageSetup fitToHeight="0" fitToWidth="1" horizontalDpi="600" verticalDpi="600" orientation="landscape" paperSize="9" scale="77" r:id="rId3"/>
  <headerFooter alignWithMargins="0">
    <oddFooter>&amp;L&amp;F&amp;R&amp;A &amp;P/&amp;N</oddFooter>
  </headerFooter>
  <rowBreaks count="25" manualBreakCount="25">
    <brk id="25" max="10" man="1"/>
    <brk id="48" max="255" man="1"/>
    <brk id="85" max="255" man="1"/>
    <brk id="106" max="255" man="1"/>
    <brk id="122" max="255" man="1"/>
    <brk id="140" max="255" man="1"/>
    <brk id="155" max="255" man="1"/>
    <brk id="164" max="255" man="1"/>
    <brk id="178" max="255" man="1"/>
    <brk id="187" max="255" man="1"/>
    <brk id="201" max="255" man="1"/>
    <brk id="219" max="255" man="1"/>
    <brk id="237" max="255" man="1"/>
    <brk id="255" max="255" man="1"/>
    <brk id="275" max="255" man="1"/>
    <brk id="296" max="255" man="1"/>
    <brk id="307" max="255" man="1"/>
    <brk id="314" max="255" man="1"/>
    <brk id="324" max="255" man="1"/>
    <brk id="342" max="255" man="1"/>
    <brk id="364" max="255" man="1"/>
    <brk id="384" max="255" man="1"/>
    <brk id="404" max="255" man="1"/>
    <brk id="418" max="255" man="1"/>
    <brk id="440" max="25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2">
    <tabColor indexed="34"/>
    <pageSetUpPr fitToPage="1"/>
  </sheetPr>
  <dimension ref="A1:M231"/>
  <sheetViews>
    <sheetView zoomScale="90" zoomScaleNormal="90" workbookViewId="0" topLeftCell="A1">
      <pane xSplit="3" ySplit="3" topLeftCell="D4" activePane="bottomRight" state="frozen"/>
      <selection pane="topLeft" activeCell="D4" sqref="D4"/>
      <selection pane="topRight" activeCell="D4" sqref="D4"/>
      <selection pane="bottomLeft" activeCell="D4" sqref="D4"/>
      <selection pane="bottomRight" activeCell="B4" sqref="B4"/>
    </sheetView>
  </sheetViews>
  <sheetFormatPr defaultColWidth="9.33203125" defaultRowHeight="21"/>
  <cols>
    <col min="1" max="1" width="7.33203125" style="137" customWidth="1"/>
    <col min="2" max="2" width="83.83203125" style="0" customWidth="1"/>
    <col min="3" max="5" width="10.33203125" style="138" customWidth="1"/>
    <col min="6" max="8" width="10.16015625" style="54" bestFit="1" customWidth="1"/>
    <col min="9" max="13" width="9.33203125" style="54" customWidth="1"/>
  </cols>
  <sheetData>
    <row r="1" spans="1:13" ht="23.25">
      <c r="A1" s="112" t="s">
        <v>0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</row>
    <row r="2" spans="1:13" ht="25.5" customHeight="1">
      <c r="A2" s="274" t="s">
        <v>294</v>
      </c>
      <c r="B2" s="275"/>
      <c r="C2" s="272" t="s">
        <v>295</v>
      </c>
      <c r="D2" s="272" t="s">
        <v>296</v>
      </c>
      <c r="E2" s="272" t="s">
        <v>297</v>
      </c>
      <c r="F2" s="271" t="s">
        <v>3</v>
      </c>
      <c r="G2" s="271"/>
      <c r="H2" s="271"/>
      <c r="I2" s="271" t="s">
        <v>4</v>
      </c>
      <c r="J2" s="271"/>
      <c r="K2" s="271"/>
      <c r="L2" s="271"/>
      <c r="M2" s="271"/>
    </row>
    <row r="3" spans="1:13" ht="25.5" customHeight="1">
      <c r="A3" s="276"/>
      <c r="B3" s="277"/>
      <c r="C3" s="273"/>
      <c r="D3" s="273"/>
      <c r="E3" s="273"/>
      <c r="F3" s="114">
        <v>2547</v>
      </c>
      <c r="G3" s="114">
        <v>2548</v>
      </c>
      <c r="H3" s="114">
        <v>2549</v>
      </c>
      <c r="I3" s="114">
        <v>2550</v>
      </c>
      <c r="J3" s="114">
        <v>2551</v>
      </c>
      <c r="K3" s="114">
        <v>2552</v>
      </c>
      <c r="L3" s="114">
        <v>2553</v>
      </c>
      <c r="M3" s="114">
        <v>2554</v>
      </c>
    </row>
    <row r="4" spans="1:13" ht="21">
      <c r="A4" s="115" t="s">
        <v>5</v>
      </c>
      <c r="B4" s="116"/>
      <c r="C4" s="117"/>
      <c r="D4" s="117">
        <v>20</v>
      </c>
      <c r="E4" s="117"/>
      <c r="F4" s="117"/>
      <c r="G4" s="117"/>
      <c r="H4" s="117"/>
      <c r="I4" s="117"/>
      <c r="J4" s="117"/>
      <c r="K4" s="117"/>
      <c r="L4" s="117"/>
      <c r="M4" s="117"/>
    </row>
    <row r="5" spans="1:13" ht="21" customHeight="1">
      <c r="A5" s="9" t="s">
        <v>6</v>
      </c>
      <c r="B5" s="270" t="s">
        <v>298</v>
      </c>
      <c r="C5" s="118" t="s">
        <v>299</v>
      </c>
      <c r="D5" s="118">
        <v>6.66</v>
      </c>
      <c r="E5" s="6" t="s">
        <v>300</v>
      </c>
      <c r="F5" s="7"/>
      <c r="G5" s="7"/>
      <c r="H5" s="7"/>
      <c r="I5" s="8">
        <v>7</v>
      </c>
      <c r="J5" s="8">
        <v>7</v>
      </c>
      <c r="K5" s="8">
        <v>7</v>
      </c>
      <c r="L5" s="8">
        <v>7</v>
      </c>
      <c r="M5" s="8">
        <v>7</v>
      </c>
    </row>
    <row r="6" spans="1:13" ht="21">
      <c r="A6" s="4"/>
      <c r="B6" s="269"/>
      <c r="C6" s="6"/>
      <c r="D6" s="6"/>
      <c r="E6" s="6" t="s">
        <v>301</v>
      </c>
      <c r="F6" s="8"/>
      <c r="G6" s="8"/>
      <c r="H6" s="8"/>
      <c r="I6" s="8"/>
      <c r="J6" s="8"/>
      <c r="K6" s="8"/>
      <c r="L6" s="8"/>
      <c r="M6" s="8"/>
    </row>
    <row r="7" spans="1:13" ht="21">
      <c r="A7" s="9" t="s">
        <v>9</v>
      </c>
      <c r="B7" s="268" t="s">
        <v>302</v>
      </c>
      <c r="C7" s="118" t="s">
        <v>303</v>
      </c>
      <c r="D7" s="118">
        <v>6.67</v>
      </c>
      <c r="E7" s="12" t="s">
        <v>300</v>
      </c>
      <c r="F7" s="13"/>
      <c r="G7" s="13"/>
      <c r="H7" s="13"/>
      <c r="I7" s="14">
        <v>85</v>
      </c>
      <c r="J7" s="14">
        <v>85</v>
      </c>
      <c r="K7" s="14">
        <v>85</v>
      </c>
      <c r="L7" s="14">
        <v>85</v>
      </c>
      <c r="M7" s="14">
        <v>85</v>
      </c>
    </row>
    <row r="8" spans="1:13" ht="21">
      <c r="A8" s="4"/>
      <c r="B8" s="269"/>
      <c r="C8" s="6"/>
      <c r="D8" s="6"/>
      <c r="E8" s="6" t="s">
        <v>301</v>
      </c>
      <c r="F8" s="8">
        <v>100</v>
      </c>
      <c r="G8" s="8">
        <v>95.45</v>
      </c>
      <c r="H8" s="8">
        <v>95.55</v>
      </c>
      <c r="I8" s="8"/>
      <c r="J8" s="8"/>
      <c r="K8" s="8"/>
      <c r="L8" s="8"/>
      <c r="M8" s="8"/>
    </row>
    <row r="9" spans="1:13" ht="21" customHeight="1">
      <c r="A9" s="119" t="s">
        <v>29</v>
      </c>
      <c r="B9" s="268" t="s">
        <v>304</v>
      </c>
      <c r="C9" s="120" t="s">
        <v>299</v>
      </c>
      <c r="D9" s="120">
        <v>6.67</v>
      </c>
      <c r="E9" s="12" t="s">
        <v>300</v>
      </c>
      <c r="F9" s="13"/>
      <c r="G9" s="13"/>
      <c r="H9" s="40">
        <v>5</v>
      </c>
      <c r="I9" s="14">
        <v>5</v>
      </c>
      <c r="J9" s="14">
        <v>5</v>
      </c>
      <c r="K9" s="14">
        <v>5</v>
      </c>
      <c r="L9" s="14">
        <v>5</v>
      </c>
      <c r="M9" s="14">
        <v>5</v>
      </c>
    </row>
    <row r="10" spans="1:13" ht="21">
      <c r="A10" s="18"/>
      <c r="B10" s="278"/>
      <c r="C10" s="20"/>
      <c r="D10" s="20"/>
      <c r="E10" s="20" t="s">
        <v>301</v>
      </c>
      <c r="F10" s="121">
        <v>5</v>
      </c>
      <c r="G10" s="121">
        <v>5</v>
      </c>
      <c r="H10" s="121">
        <v>5</v>
      </c>
      <c r="I10" s="22"/>
      <c r="J10" s="22"/>
      <c r="K10" s="22"/>
      <c r="L10" s="22"/>
      <c r="M10" s="22"/>
    </row>
    <row r="11" spans="1:13" ht="21">
      <c r="A11" s="115" t="s">
        <v>31</v>
      </c>
      <c r="B11" s="116"/>
      <c r="C11" s="117"/>
      <c r="D11" s="117">
        <v>50</v>
      </c>
      <c r="E11" s="117"/>
      <c r="F11" s="117"/>
      <c r="G11" s="117"/>
      <c r="H11" s="117"/>
      <c r="I11" s="117"/>
      <c r="J11" s="117"/>
      <c r="K11" s="117"/>
      <c r="L11" s="117"/>
      <c r="M11" s="117"/>
    </row>
    <row r="12" spans="1:13" ht="21">
      <c r="A12" s="122" t="s">
        <v>305</v>
      </c>
      <c r="B12" s="123"/>
      <c r="C12" s="124"/>
      <c r="D12" s="124">
        <v>30</v>
      </c>
      <c r="E12" s="124"/>
      <c r="F12" s="124"/>
      <c r="G12" s="124"/>
      <c r="H12" s="124"/>
      <c r="I12" s="124"/>
      <c r="J12" s="124"/>
      <c r="K12" s="124"/>
      <c r="L12" s="124"/>
      <c r="M12" s="124"/>
    </row>
    <row r="13" spans="1:13" ht="21">
      <c r="A13" s="9" t="s">
        <v>32</v>
      </c>
      <c r="B13" s="270" t="s">
        <v>306</v>
      </c>
      <c r="C13" s="118" t="s">
        <v>299</v>
      </c>
      <c r="D13" s="118">
        <v>1.66</v>
      </c>
      <c r="E13" s="6" t="s">
        <v>300</v>
      </c>
      <c r="F13" s="7"/>
      <c r="G13" s="7"/>
      <c r="H13" s="7"/>
      <c r="I13" s="8">
        <v>7</v>
      </c>
      <c r="J13" s="8">
        <v>7</v>
      </c>
      <c r="K13" s="8">
        <v>7</v>
      </c>
      <c r="L13" s="8">
        <v>7</v>
      </c>
      <c r="M13" s="24" t="s">
        <v>34</v>
      </c>
    </row>
    <row r="14" spans="1:13" ht="21">
      <c r="A14" s="4"/>
      <c r="B14" s="269"/>
      <c r="C14" s="6"/>
      <c r="D14" s="6"/>
      <c r="E14" s="6" t="s">
        <v>301</v>
      </c>
      <c r="F14" s="8"/>
      <c r="G14" s="8"/>
      <c r="H14" s="8"/>
      <c r="I14" s="8"/>
      <c r="J14" s="8"/>
      <c r="K14" s="8"/>
      <c r="L14" s="8"/>
      <c r="M14" s="8"/>
    </row>
    <row r="15" spans="1:13" ht="21">
      <c r="A15" s="9" t="s">
        <v>36</v>
      </c>
      <c r="B15" s="268" t="s">
        <v>307</v>
      </c>
      <c r="C15" s="118" t="s">
        <v>299</v>
      </c>
      <c r="D15" s="118">
        <v>1.66</v>
      </c>
      <c r="E15" s="12" t="s">
        <v>300</v>
      </c>
      <c r="F15" s="13"/>
      <c r="G15" s="125"/>
      <c r="H15" s="40">
        <v>7</v>
      </c>
      <c r="I15" s="14">
        <v>7</v>
      </c>
      <c r="J15" s="14">
        <v>7</v>
      </c>
      <c r="K15" s="14">
        <v>7</v>
      </c>
      <c r="L15" s="14">
        <v>7</v>
      </c>
      <c r="M15" s="14">
        <v>7</v>
      </c>
    </row>
    <row r="16" spans="1:13" ht="21">
      <c r="A16" s="4"/>
      <c r="B16" s="269"/>
      <c r="C16" s="6"/>
      <c r="D16" s="6"/>
      <c r="E16" s="6" t="s">
        <v>301</v>
      </c>
      <c r="F16" s="28">
        <v>7</v>
      </c>
      <c r="G16" s="28">
        <v>7</v>
      </c>
      <c r="H16" s="28">
        <v>7</v>
      </c>
      <c r="I16" s="8"/>
      <c r="J16" s="30"/>
      <c r="K16" s="30"/>
      <c r="L16" s="30"/>
      <c r="M16" s="8"/>
    </row>
    <row r="17" spans="1:13" ht="21" customHeight="1">
      <c r="A17" s="9" t="s">
        <v>40</v>
      </c>
      <c r="B17" s="268" t="s">
        <v>308</v>
      </c>
      <c r="C17" s="118" t="s">
        <v>299</v>
      </c>
      <c r="D17" s="118">
        <v>1.66</v>
      </c>
      <c r="E17" s="12" t="s">
        <v>300</v>
      </c>
      <c r="F17" s="13"/>
      <c r="G17" s="13"/>
      <c r="H17" s="13"/>
      <c r="I17" s="14">
        <v>4</v>
      </c>
      <c r="J17" s="14">
        <v>4</v>
      </c>
      <c r="K17" s="14">
        <v>5</v>
      </c>
      <c r="L17" s="14">
        <v>5</v>
      </c>
      <c r="M17" s="15" t="s">
        <v>38</v>
      </c>
    </row>
    <row r="18" spans="1:13" ht="21">
      <c r="A18" s="4"/>
      <c r="B18" s="269"/>
      <c r="C18" s="6"/>
      <c r="D18" s="6"/>
      <c r="E18" s="6" t="s">
        <v>301</v>
      </c>
      <c r="F18" s="8"/>
      <c r="G18" s="8"/>
      <c r="H18" s="8"/>
      <c r="I18" s="8"/>
      <c r="J18" s="8"/>
      <c r="K18" s="8"/>
      <c r="L18" s="8"/>
      <c r="M18" s="8"/>
    </row>
    <row r="19" spans="1:13" ht="21">
      <c r="A19" s="9" t="s">
        <v>42</v>
      </c>
      <c r="B19" s="268" t="s">
        <v>309</v>
      </c>
      <c r="C19" s="118" t="s">
        <v>303</v>
      </c>
      <c r="D19" s="118">
        <v>1.66</v>
      </c>
      <c r="E19" s="12" t="s">
        <v>300</v>
      </c>
      <c r="F19" s="13"/>
      <c r="G19" s="13"/>
      <c r="H19" s="126">
        <v>-25</v>
      </c>
      <c r="I19" s="126">
        <v>-25</v>
      </c>
      <c r="J19" s="126">
        <v>-25</v>
      </c>
      <c r="K19" s="126">
        <v>-25</v>
      </c>
      <c r="L19" s="126">
        <v>-20</v>
      </c>
      <c r="M19" s="126">
        <v>-15</v>
      </c>
    </row>
    <row r="20" spans="1:13" ht="21">
      <c r="A20" s="4"/>
      <c r="B20" s="269"/>
      <c r="C20" s="6"/>
      <c r="D20" s="6"/>
      <c r="E20" s="6" t="s">
        <v>301</v>
      </c>
      <c r="F20" s="49">
        <v>-24.25</v>
      </c>
      <c r="G20" s="49">
        <v>-19.85</v>
      </c>
      <c r="H20" s="49">
        <v>-25.65</v>
      </c>
      <c r="I20" s="127"/>
      <c r="J20" s="8"/>
      <c r="K20" s="8"/>
      <c r="L20" s="8"/>
      <c r="M20" s="8"/>
    </row>
    <row r="21" spans="1:13" ht="21" customHeight="1">
      <c r="A21" s="9" t="s">
        <v>46</v>
      </c>
      <c r="B21" s="268" t="s">
        <v>310</v>
      </c>
      <c r="C21" s="118" t="s">
        <v>303</v>
      </c>
      <c r="D21" s="118">
        <v>1.66</v>
      </c>
      <c r="E21" s="12" t="s">
        <v>300</v>
      </c>
      <c r="F21" s="13"/>
      <c r="G21" s="13"/>
      <c r="H21" s="42"/>
      <c r="I21" s="14" t="s">
        <v>50</v>
      </c>
      <c r="J21" s="128" t="s">
        <v>51</v>
      </c>
      <c r="K21" s="128" t="s">
        <v>52</v>
      </c>
      <c r="L21" s="40" t="s">
        <v>53</v>
      </c>
      <c r="M21" s="40" t="s">
        <v>54</v>
      </c>
    </row>
    <row r="22" spans="1:13" ht="21">
      <c r="A22" s="4"/>
      <c r="B22" s="269"/>
      <c r="C22" s="6"/>
      <c r="D22" s="6"/>
      <c r="E22" s="6" t="s">
        <v>301</v>
      </c>
      <c r="F22" s="49" t="s">
        <v>532</v>
      </c>
      <c r="G22" s="49" t="s">
        <v>48</v>
      </c>
      <c r="H22" s="49" t="s">
        <v>49</v>
      </c>
      <c r="I22" s="8"/>
      <c r="J22" s="8"/>
      <c r="K22" s="8"/>
      <c r="L22" s="8"/>
      <c r="M22" s="8"/>
    </row>
    <row r="23" spans="1:13" ht="21" customHeight="1">
      <c r="A23" s="9" t="s">
        <v>67</v>
      </c>
      <c r="B23" s="268" t="s">
        <v>311</v>
      </c>
      <c r="C23" s="118" t="s">
        <v>303</v>
      </c>
      <c r="D23" s="118">
        <v>1.66</v>
      </c>
      <c r="E23" s="12" t="s">
        <v>300</v>
      </c>
      <c r="F23" s="13"/>
      <c r="G23" s="13"/>
      <c r="H23" s="42"/>
      <c r="I23" s="14" t="s">
        <v>70</v>
      </c>
      <c r="J23" s="14" t="s">
        <v>71</v>
      </c>
      <c r="K23" s="14" t="s">
        <v>72</v>
      </c>
      <c r="L23" s="40" t="s">
        <v>73</v>
      </c>
      <c r="M23" s="40" t="s">
        <v>74</v>
      </c>
    </row>
    <row r="24" spans="1:13" ht="21">
      <c r="A24" s="4"/>
      <c r="B24" s="269"/>
      <c r="C24" s="6"/>
      <c r="D24" s="6"/>
      <c r="E24" s="6" t="s">
        <v>301</v>
      </c>
      <c r="F24" s="49" t="s">
        <v>539</v>
      </c>
      <c r="G24" s="49" t="s">
        <v>69</v>
      </c>
      <c r="H24" s="49" t="s">
        <v>312</v>
      </c>
      <c r="I24" s="8"/>
      <c r="J24" s="8"/>
      <c r="K24" s="8"/>
      <c r="L24" s="8"/>
      <c r="M24" s="8"/>
    </row>
    <row r="25" spans="1:13" ht="21">
      <c r="A25" s="9" t="s">
        <v>85</v>
      </c>
      <c r="B25" s="268" t="s">
        <v>313</v>
      </c>
      <c r="C25" s="118" t="s">
        <v>299</v>
      </c>
      <c r="D25" s="118">
        <v>1.67</v>
      </c>
      <c r="E25" s="12" t="s">
        <v>300</v>
      </c>
      <c r="F25" s="13"/>
      <c r="G25" s="13"/>
      <c r="H25" s="40">
        <v>4</v>
      </c>
      <c r="I25" s="14">
        <v>4</v>
      </c>
      <c r="J25" s="14">
        <v>4</v>
      </c>
      <c r="K25" s="14">
        <v>4</v>
      </c>
      <c r="L25" s="14">
        <v>4</v>
      </c>
      <c r="M25" s="15" t="s">
        <v>39</v>
      </c>
    </row>
    <row r="26" spans="1:13" ht="21">
      <c r="A26" s="4"/>
      <c r="B26" s="269"/>
      <c r="C26" s="6"/>
      <c r="D26" s="6"/>
      <c r="E26" s="6" t="s">
        <v>301</v>
      </c>
      <c r="F26" s="28" t="s">
        <v>21</v>
      </c>
      <c r="G26" s="28">
        <v>4</v>
      </c>
      <c r="H26" s="28">
        <v>4</v>
      </c>
      <c r="I26" s="8"/>
      <c r="J26" s="8"/>
      <c r="K26" s="8"/>
      <c r="L26" s="8"/>
      <c r="M26" s="8"/>
    </row>
    <row r="27" spans="1:13" ht="21">
      <c r="A27" s="9" t="s">
        <v>87</v>
      </c>
      <c r="B27" s="268" t="s">
        <v>314</v>
      </c>
      <c r="C27" s="118" t="s">
        <v>315</v>
      </c>
      <c r="D27" s="118">
        <v>1.67</v>
      </c>
      <c r="E27" s="12" t="s">
        <v>300</v>
      </c>
      <c r="F27" s="13"/>
      <c r="G27" s="13"/>
      <c r="H27" s="13"/>
      <c r="I27" s="14">
        <v>3</v>
      </c>
      <c r="J27" s="14">
        <v>3</v>
      </c>
      <c r="K27" s="14">
        <v>3</v>
      </c>
      <c r="L27" s="14">
        <v>4</v>
      </c>
      <c r="M27" s="15" t="s">
        <v>39</v>
      </c>
    </row>
    <row r="28" spans="1:13" ht="21">
      <c r="A28" s="4"/>
      <c r="B28" s="269"/>
      <c r="C28" s="6"/>
      <c r="D28" s="6"/>
      <c r="E28" s="6" t="s">
        <v>301</v>
      </c>
      <c r="F28" s="8"/>
      <c r="G28" s="8"/>
      <c r="H28" s="8"/>
      <c r="I28" s="8"/>
      <c r="J28" s="8"/>
      <c r="K28" s="8"/>
      <c r="L28" s="8"/>
      <c r="M28" s="8"/>
    </row>
    <row r="29" spans="1:13" ht="21">
      <c r="A29" s="9" t="s">
        <v>89</v>
      </c>
      <c r="B29" s="268" t="s">
        <v>316</v>
      </c>
      <c r="C29" s="118" t="s">
        <v>303</v>
      </c>
      <c r="D29" s="118">
        <v>1.67</v>
      </c>
      <c r="E29" s="12" t="s">
        <v>300</v>
      </c>
      <c r="F29" s="13"/>
      <c r="G29" s="13"/>
      <c r="H29" s="40">
        <v>85</v>
      </c>
      <c r="I29" s="14">
        <v>85</v>
      </c>
      <c r="J29" s="14">
        <v>85</v>
      </c>
      <c r="K29" s="14">
        <v>85</v>
      </c>
      <c r="L29" s="40">
        <v>85</v>
      </c>
      <c r="M29" s="40">
        <v>85</v>
      </c>
    </row>
    <row r="30" spans="1:13" ht="21">
      <c r="A30" s="4"/>
      <c r="B30" s="269"/>
      <c r="C30" s="6"/>
      <c r="D30" s="6"/>
      <c r="E30" s="6" t="s">
        <v>301</v>
      </c>
      <c r="F30" s="30">
        <v>87.74703557312253</v>
      </c>
      <c r="G30" s="30">
        <v>85.14492753623189</v>
      </c>
      <c r="H30" s="30">
        <v>86.37873754152824</v>
      </c>
      <c r="I30" s="30"/>
      <c r="J30" s="8"/>
      <c r="K30" s="8"/>
      <c r="L30" s="8"/>
      <c r="M30" s="8"/>
    </row>
    <row r="31" spans="1:13" ht="21">
      <c r="A31" s="9" t="s">
        <v>91</v>
      </c>
      <c r="B31" s="268" t="s">
        <v>317</v>
      </c>
      <c r="C31" s="118" t="s">
        <v>303</v>
      </c>
      <c r="D31" s="118">
        <v>1.67</v>
      </c>
      <c r="E31" s="12" t="s">
        <v>300</v>
      </c>
      <c r="F31" s="13"/>
      <c r="G31" s="13"/>
      <c r="H31" s="40">
        <v>99</v>
      </c>
      <c r="I31" s="14">
        <v>99</v>
      </c>
      <c r="J31" s="14">
        <v>99</v>
      </c>
      <c r="K31" s="14">
        <v>99</v>
      </c>
      <c r="L31" s="14">
        <v>99</v>
      </c>
      <c r="M31" s="14">
        <v>99</v>
      </c>
    </row>
    <row r="32" spans="1:13" ht="21">
      <c r="A32" s="4"/>
      <c r="B32" s="269"/>
      <c r="C32" s="6"/>
      <c r="D32" s="6"/>
      <c r="E32" s="6" t="s">
        <v>301</v>
      </c>
      <c r="F32" s="30">
        <v>98.3957219251337</v>
      </c>
      <c r="G32" s="30">
        <v>99.0521327014218</v>
      </c>
      <c r="H32" s="30">
        <v>98.3739837398374</v>
      </c>
      <c r="I32" s="30"/>
      <c r="J32" s="8"/>
      <c r="K32" s="8"/>
      <c r="L32" s="8"/>
      <c r="M32" s="8"/>
    </row>
    <row r="33" spans="1:13" ht="21">
      <c r="A33" s="9" t="s">
        <v>93</v>
      </c>
      <c r="B33" s="268" t="s">
        <v>318</v>
      </c>
      <c r="C33" s="118" t="s">
        <v>319</v>
      </c>
      <c r="D33" s="118">
        <v>1.67</v>
      </c>
      <c r="E33" s="12" t="s">
        <v>300</v>
      </c>
      <c r="F33" s="13"/>
      <c r="G33" s="13"/>
      <c r="H33" s="39">
        <v>3.5</v>
      </c>
      <c r="I33" s="39">
        <v>3.5</v>
      </c>
      <c r="J33" s="39">
        <v>3.5</v>
      </c>
      <c r="K33" s="39">
        <v>3.5</v>
      </c>
      <c r="L33" s="39">
        <v>3.75</v>
      </c>
      <c r="M33" s="39">
        <v>3.75</v>
      </c>
    </row>
    <row r="34" spans="1:13" ht="21">
      <c r="A34" s="4"/>
      <c r="B34" s="269"/>
      <c r="C34" s="6"/>
      <c r="D34" s="6"/>
      <c r="E34" s="6" t="s">
        <v>301</v>
      </c>
      <c r="F34" s="30">
        <v>3.78</v>
      </c>
      <c r="G34" s="30">
        <v>3.64</v>
      </c>
      <c r="H34" s="30">
        <v>3.84</v>
      </c>
      <c r="I34" s="30"/>
      <c r="J34" s="8"/>
      <c r="K34" s="8"/>
      <c r="L34" s="8"/>
      <c r="M34" s="8"/>
    </row>
    <row r="35" spans="1:13" ht="21" customHeight="1">
      <c r="A35" s="9" t="s">
        <v>95</v>
      </c>
      <c r="B35" s="268" t="s">
        <v>320</v>
      </c>
      <c r="C35" s="118" t="s">
        <v>303</v>
      </c>
      <c r="D35" s="118">
        <v>1.67</v>
      </c>
      <c r="E35" s="12" t="s">
        <v>300</v>
      </c>
      <c r="F35" s="42"/>
      <c r="G35" s="42"/>
      <c r="H35" s="14">
        <v>0.94</v>
      </c>
      <c r="I35" s="14">
        <v>0.5</v>
      </c>
      <c r="J35" s="39">
        <v>0.5</v>
      </c>
      <c r="K35" s="39">
        <v>0.5</v>
      </c>
      <c r="L35" s="39">
        <v>0.5</v>
      </c>
      <c r="M35" s="39">
        <v>0.5</v>
      </c>
    </row>
    <row r="36" spans="1:13" ht="42" customHeight="1">
      <c r="A36" s="4"/>
      <c r="B36" s="269"/>
      <c r="C36" s="6"/>
      <c r="D36" s="6"/>
      <c r="E36" s="6" t="s">
        <v>301</v>
      </c>
      <c r="F36" s="49">
        <v>1.03</v>
      </c>
      <c r="G36" s="49">
        <v>0.57</v>
      </c>
      <c r="H36" s="49">
        <v>1.34</v>
      </c>
      <c r="I36" s="49"/>
      <c r="J36" s="49"/>
      <c r="K36" s="49"/>
      <c r="L36" s="49"/>
      <c r="M36" s="8"/>
    </row>
    <row r="37" spans="1:13" ht="21">
      <c r="A37" s="9" t="s">
        <v>96</v>
      </c>
      <c r="B37" s="268" t="s">
        <v>321</v>
      </c>
      <c r="C37" s="118" t="s">
        <v>303</v>
      </c>
      <c r="D37" s="118">
        <v>1.67</v>
      </c>
      <c r="E37" s="12" t="s">
        <v>300</v>
      </c>
      <c r="F37" s="13"/>
      <c r="G37" s="13"/>
      <c r="H37" s="14">
        <v>100</v>
      </c>
      <c r="I37" s="14">
        <v>90</v>
      </c>
      <c r="J37" s="14">
        <v>100</v>
      </c>
      <c r="K37" s="14">
        <v>100</v>
      </c>
      <c r="L37" s="14">
        <v>100</v>
      </c>
      <c r="M37" s="14">
        <v>100</v>
      </c>
    </row>
    <row r="38" spans="1:13" ht="21">
      <c r="A38" s="4"/>
      <c r="B38" s="269"/>
      <c r="C38" s="6"/>
      <c r="D38" s="6"/>
      <c r="E38" s="6" t="s">
        <v>301</v>
      </c>
      <c r="F38" s="8">
        <v>100</v>
      </c>
      <c r="G38" s="8">
        <v>100</v>
      </c>
      <c r="H38" s="8">
        <v>100</v>
      </c>
      <c r="I38" s="8"/>
      <c r="J38" s="8"/>
      <c r="K38" s="8"/>
      <c r="L38" s="8"/>
      <c r="M38" s="8"/>
    </row>
    <row r="39" spans="1:13" ht="21">
      <c r="A39" s="9" t="s">
        <v>99</v>
      </c>
      <c r="B39" s="268" t="s">
        <v>322</v>
      </c>
      <c r="C39" s="118" t="s">
        <v>319</v>
      </c>
      <c r="D39" s="118">
        <v>1.67</v>
      </c>
      <c r="E39" s="12" t="s">
        <v>300</v>
      </c>
      <c r="F39" s="13"/>
      <c r="G39" s="13"/>
      <c r="H39" s="14">
        <v>4</v>
      </c>
      <c r="I39" s="14">
        <v>4.2</v>
      </c>
      <c r="J39" s="14">
        <v>4.2</v>
      </c>
      <c r="K39" s="14">
        <v>4.2</v>
      </c>
      <c r="L39" s="14">
        <v>4.2</v>
      </c>
      <c r="M39" s="14">
        <v>4.2</v>
      </c>
    </row>
    <row r="40" spans="1:13" ht="21">
      <c r="A40" s="4"/>
      <c r="B40" s="269"/>
      <c r="C40" s="6"/>
      <c r="D40" s="6"/>
      <c r="E40" s="6" t="s">
        <v>301</v>
      </c>
      <c r="F40" s="30">
        <v>4.1</v>
      </c>
      <c r="G40" s="30">
        <v>4.11</v>
      </c>
      <c r="H40" s="30">
        <v>4.33</v>
      </c>
      <c r="I40" s="30"/>
      <c r="J40" s="8"/>
      <c r="K40" s="8"/>
      <c r="L40" s="8"/>
      <c r="M40" s="8"/>
    </row>
    <row r="41" spans="1:13" ht="21">
      <c r="A41" s="9" t="s">
        <v>103</v>
      </c>
      <c r="B41" s="268" t="s">
        <v>323</v>
      </c>
      <c r="C41" s="118" t="s">
        <v>303</v>
      </c>
      <c r="D41" s="118">
        <v>1.67</v>
      </c>
      <c r="E41" s="12" t="s">
        <v>300</v>
      </c>
      <c r="F41" s="13"/>
      <c r="G41" s="13"/>
      <c r="H41" s="14">
        <v>90</v>
      </c>
      <c r="I41" s="14">
        <v>90</v>
      </c>
      <c r="J41" s="14">
        <v>90</v>
      </c>
      <c r="K41" s="14">
        <v>90</v>
      </c>
      <c r="L41" s="14">
        <v>90</v>
      </c>
      <c r="M41" s="14">
        <v>90</v>
      </c>
    </row>
    <row r="42" spans="1:13" ht="21">
      <c r="A42" s="4"/>
      <c r="B42" s="269"/>
      <c r="C42" s="6"/>
      <c r="D42" s="6"/>
      <c r="E42" s="6" t="s">
        <v>301</v>
      </c>
      <c r="F42" s="30">
        <v>43.24324324324324</v>
      </c>
      <c r="G42" s="30">
        <v>89.6103896103896</v>
      </c>
      <c r="H42" s="30">
        <v>91.08527131782945</v>
      </c>
      <c r="I42" s="30"/>
      <c r="J42" s="8"/>
      <c r="K42" s="8"/>
      <c r="L42" s="8"/>
      <c r="M42" s="8"/>
    </row>
    <row r="43" spans="1:13" ht="21" customHeight="1">
      <c r="A43" s="9" t="s">
        <v>105</v>
      </c>
      <c r="B43" s="268" t="s">
        <v>324</v>
      </c>
      <c r="C43" s="118" t="s">
        <v>325</v>
      </c>
      <c r="D43" s="118">
        <v>1.67</v>
      </c>
      <c r="E43" s="12" t="s">
        <v>300</v>
      </c>
      <c r="F43" s="13"/>
      <c r="G43" s="13"/>
      <c r="H43" s="14">
        <v>10</v>
      </c>
      <c r="I43" s="14">
        <v>20</v>
      </c>
      <c r="J43" s="14">
        <v>20</v>
      </c>
      <c r="K43" s="14">
        <v>20</v>
      </c>
      <c r="L43" s="14">
        <v>20</v>
      </c>
      <c r="M43" s="14">
        <v>20</v>
      </c>
    </row>
    <row r="44" spans="1:13" ht="21">
      <c r="A44" s="4"/>
      <c r="B44" s="269"/>
      <c r="C44" s="6"/>
      <c r="D44" s="6"/>
      <c r="E44" s="6" t="s">
        <v>301</v>
      </c>
      <c r="F44" s="31">
        <v>9</v>
      </c>
      <c r="G44" s="31">
        <v>8</v>
      </c>
      <c r="H44" s="31">
        <v>26</v>
      </c>
      <c r="I44" s="8"/>
      <c r="J44" s="8"/>
      <c r="K44" s="8"/>
      <c r="L44" s="8"/>
      <c r="M44" s="8"/>
    </row>
    <row r="45" spans="1:13" ht="21">
      <c r="A45" s="9" t="s">
        <v>107</v>
      </c>
      <c r="B45" s="268" t="s">
        <v>326</v>
      </c>
      <c r="C45" s="118" t="s">
        <v>299</v>
      </c>
      <c r="D45" s="118">
        <v>1.67</v>
      </c>
      <c r="E45" s="12" t="s">
        <v>300</v>
      </c>
      <c r="F45" s="13"/>
      <c r="G45" s="13"/>
      <c r="H45" s="40">
        <v>5</v>
      </c>
      <c r="I45" s="14">
        <v>5</v>
      </c>
      <c r="J45" s="14">
        <v>5</v>
      </c>
      <c r="K45" s="14">
        <v>5</v>
      </c>
      <c r="L45" s="14">
        <v>5</v>
      </c>
      <c r="M45" s="14">
        <v>5</v>
      </c>
    </row>
    <row r="46" spans="1:13" ht="21">
      <c r="A46" s="4"/>
      <c r="B46" s="269"/>
      <c r="C46" s="6"/>
      <c r="D46" s="6"/>
      <c r="E46" s="6" t="s">
        <v>301</v>
      </c>
      <c r="F46" s="31">
        <v>5</v>
      </c>
      <c r="G46" s="31">
        <v>5</v>
      </c>
      <c r="H46" s="31">
        <v>5</v>
      </c>
      <c r="I46" s="8"/>
      <c r="J46" s="8"/>
      <c r="K46" s="8"/>
      <c r="L46" s="8"/>
      <c r="M46" s="8"/>
    </row>
    <row r="47" spans="1:13" ht="21">
      <c r="A47" s="9" t="s">
        <v>109</v>
      </c>
      <c r="B47" s="268" t="s">
        <v>327</v>
      </c>
      <c r="C47" s="118" t="s">
        <v>303</v>
      </c>
      <c r="D47" s="118">
        <v>1.67</v>
      </c>
      <c r="E47" s="12" t="s">
        <v>300</v>
      </c>
      <c r="F47" s="13"/>
      <c r="G47" s="13"/>
      <c r="H47" s="40">
        <v>50</v>
      </c>
      <c r="I47" s="40">
        <v>50</v>
      </c>
      <c r="J47" s="40">
        <v>50</v>
      </c>
      <c r="K47" s="40">
        <v>50</v>
      </c>
      <c r="L47" s="40">
        <v>52</v>
      </c>
      <c r="M47" s="40">
        <v>52</v>
      </c>
    </row>
    <row r="48" spans="1:13" ht="21">
      <c r="A48" s="4"/>
      <c r="B48" s="269"/>
      <c r="C48" s="6"/>
      <c r="D48" s="6"/>
      <c r="E48" s="6" t="s">
        <v>301</v>
      </c>
      <c r="F48" s="30">
        <v>44.53924914675768</v>
      </c>
      <c r="G48" s="30">
        <v>50.67340067340067</v>
      </c>
      <c r="H48" s="30">
        <v>41.534713763702804</v>
      </c>
      <c r="I48" s="30"/>
      <c r="J48" s="8"/>
      <c r="K48" s="8"/>
      <c r="L48" s="8"/>
      <c r="M48" s="8"/>
    </row>
    <row r="49" spans="1:13" ht="21">
      <c r="A49" s="122" t="s">
        <v>328</v>
      </c>
      <c r="B49" s="123"/>
      <c r="C49" s="124"/>
      <c r="D49" s="124">
        <v>20</v>
      </c>
      <c r="E49" s="124"/>
      <c r="F49" s="124"/>
      <c r="G49" s="124"/>
      <c r="H49" s="124"/>
      <c r="I49" s="124"/>
      <c r="J49" s="124"/>
      <c r="K49" s="124"/>
      <c r="L49" s="124"/>
      <c r="M49" s="124"/>
    </row>
    <row r="50" spans="1:13" ht="21" customHeight="1">
      <c r="A50" s="9" t="s">
        <v>115</v>
      </c>
      <c r="B50" s="270" t="s">
        <v>329</v>
      </c>
      <c r="C50" s="118" t="s">
        <v>303</v>
      </c>
      <c r="D50" s="118">
        <v>3.33</v>
      </c>
      <c r="E50" s="6" t="s">
        <v>300</v>
      </c>
      <c r="F50" s="7"/>
      <c r="G50" s="7"/>
      <c r="H50" s="7"/>
      <c r="I50" s="14">
        <v>80</v>
      </c>
      <c r="J50" s="14">
        <v>80</v>
      </c>
      <c r="K50" s="14">
        <v>80</v>
      </c>
      <c r="L50" s="14">
        <v>80</v>
      </c>
      <c r="M50" s="14">
        <v>80</v>
      </c>
    </row>
    <row r="51" spans="1:13" ht="21">
      <c r="A51" s="4"/>
      <c r="B51" s="269"/>
      <c r="C51" s="6"/>
      <c r="D51" s="6"/>
      <c r="E51" s="6" t="s">
        <v>301</v>
      </c>
      <c r="F51" s="8"/>
      <c r="G51" s="8"/>
      <c r="H51" s="8"/>
      <c r="I51" s="8"/>
      <c r="J51" s="8"/>
      <c r="K51" s="8"/>
      <c r="L51" s="8"/>
      <c r="M51" s="8"/>
    </row>
    <row r="52" spans="1:13" ht="21" customHeight="1">
      <c r="A52" s="9" t="s">
        <v>117</v>
      </c>
      <c r="B52" s="268" t="s">
        <v>330</v>
      </c>
      <c r="C52" s="118" t="s">
        <v>303</v>
      </c>
      <c r="D52" s="118">
        <v>3.33</v>
      </c>
      <c r="E52" s="12" t="s">
        <v>300</v>
      </c>
      <c r="F52" s="42"/>
      <c r="G52" s="42"/>
      <c r="H52" s="14">
        <v>65</v>
      </c>
      <c r="I52" s="14">
        <v>75</v>
      </c>
      <c r="J52" s="14">
        <v>80</v>
      </c>
      <c r="K52" s="14">
        <v>90</v>
      </c>
      <c r="L52" s="14">
        <v>100</v>
      </c>
      <c r="M52" s="14">
        <v>100</v>
      </c>
    </row>
    <row r="53" spans="1:13" ht="21">
      <c r="A53" s="4"/>
      <c r="B53" s="269"/>
      <c r="C53" s="6"/>
      <c r="D53" s="6"/>
      <c r="E53" s="6" t="s">
        <v>301</v>
      </c>
      <c r="F53" s="49">
        <v>133.33333333333331</v>
      </c>
      <c r="G53" s="49">
        <v>74.35897435897436</v>
      </c>
      <c r="H53" s="49">
        <v>168.75</v>
      </c>
      <c r="I53" s="30"/>
      <c r="J53" s="49"/>
      <c r="K53" s="49"/>
      <c r="L53" s="49"/>
      <c r="M53" s="8"/>
    </row>
    <row r="54" spans="1:13" ht="21" customHeight="1">
      <c r="A54" s="9" t="s">
        <v>121</v>
      </c>
      <c r="B54" s="268" t="s">
        <v>331</v>
      </c>
      <c r="C54" s="118" t="s">
        <v>303</v>
      </c>
      <c r="D54" s="118">
        <v>3.34</v>
      </c>
      <c r="E54" s="12" t="s">
        <v>300</v>
      </c>
      <c r="F54" s="13"/>
      <c r="G54" s="13"/>
      <c r="H54" s="13"/>
      <c r="I54" s="14">
        <v>20</v>
      </c>
      <c r="J54" s="14">
        <v>20</v>
      </c>
      <c r="K54" s="14">
        <v>25</v>
      </c>
      <c r="L54" s="14">
        <v>25</v>
      </c>
      <c r="M54" s="14">
        <v>25</v>
      </c>
    </row>
    <row r="55" spans="1:13" ht="21">
      <c r="A55" s="4"/>
      <c r="B55" s="269"/>
      <c r="C55" s="6"/>
      <c r="D55" s="6"/>
      <c r="E55" s="6" t="s">
        <v>301</v>
      </c>
      <c r="F55" s="8"/>
      <c r="G55" s="8"/>
      <c r="H55" s="8"/>
      <c r="I55" s="8"/>
      <c r="J55" s="8"/>
      <c r="K55" s="8"/>
      <c r="L55" s="8"/>
      <c r="M55" s="8"/>
    </row>
    <row r="56" spans="1:13" ht="21" customHeight="1">
      <c r="A56" s="9" t="s">
        <v>123</v>
      </c>
      <c r="B56" s="268" t="s">
        <v>332</v>
      </c>
      <c r="C56" s="118" t="s">
        <v>303</v>
      </c>
      <c r="D56" s="118">
        <v>3.34</v>
      </c>
      <c r="E56" s="12" t="s">
        <v>300</v>
      </c>
      <c r="F56" s="13"/>
      <c r="G56" s="13"/>
      <c r="H56" s="14">
        <v>100</v>
      </c>
      <c r="I56" s="14">
        <v>100</v>
      </c>
      <c r="J56" s="14">
        <v>100</v>
      </c>
      <c r="K56" s="14">
        <v>100</v>
      </c>
      <c r="L56" s="14">
        <v>150</v>
      </c>
      <c r="M56" s="14">
        <v>150</v>
      </c>
    </row>
    <row r="57" spans="1:13" ht="21">
      <c r="A57" s="4"/>
      <c r="B57" s="269"/>
      <c r="C57" s="6"/>
      <c r="D57" s="6"/>
      <c r="E57" s="6" t="s">
        <v>301</v>
      </c>
      <c r="F57" s="30" t="s">
        <v>21</v>
      </c>
      <c r="G57" s="30" t="s">
        <v>21</v>
      </c>
      <c r="H57" s="30">
        <v>200</v>
      </c>
      <c r="I57" s="8"/>
      <c r="J57" s="8"/>
      <c r="K57" s="8"/>
      <c r="L57" s="8"/>
      <c r="M57" s="8"/>
    </row>
    <row r="58" spans="1:13" ht="21">
      <c r="A58" s="9" t="s">
        <v>125</v>
      </c>
      <c r="B58" s="268" t="s">
        <v>333</v>
      </c>
      <c r="C58" s="118" t="s">
        <v>303</v>
      </c>
      <c r="D58" s="118">
        <v>3.33</v>
      </c>
      <c r="E58" s="12" t="s">
        <v>300</v>
      </c>
      <c r="F58" s="13"/>
      <c r="G58" s="13"/>
      <c r="H58" s="42"/>
      <c r="I58" s="14">
        <v>17</v>
      </c>
      <c r="J58" s="129">
        <v>18</v>
      </c>
      <c r="K58" s="129">
        <v>19</v>
      </c>
      <c r="L58" s="129">
        <v>20</v>
      </c>
      <c r="M58" s="129">
        <v>21</v>
      </c>
    </row>
    <row r="59" spans="1:13" ht="21">
      <c r="A59" s="4"/>
      <c r="B59" s="269"/>
      <c r="C59" s="6"/>
      <c r="D59" s="6"/>
      <c r="E59" s="6" t="s">
        <v>301</v>
      </c>
      <c r="F59" s="49">
        <v>13.766666666666666</v>
      </c>
      <c r="G59" s="30">
        <v>15.877993158494869</v>
      </c>
      <c r="H59" s="30">
        <v>18.75586120662707</v>
      </c>
      <c r="I59" s="30"/>
      <c r="J59" s="8"/>
      <c r="K59" s="8"/>
      <c r="L59" s="8"/>
      <c r="M59" s="8"/>
    </row>
    <row r="60" spans="1:13" ht="21">
      <c r="A60" s="9" t="s">
        <v>130</v>
      </c>
      <c r="B60" s="268" t="s">
        <v>334</v>
      </c>
      <c r="C60" s="118" t="s">
        <v>303</v>
      </c>
      <c r="D60" s="118">
        <v>3.33</v>
      </c>
      <c r="E60" s="12" t="s">
        <v>300</v>
      </c>
      <c r="F60" s="13"/>
      <c r="G60" s="13"/>
      <c r="H60" s="13"/>
      <c r="I60" s="14">
        <v>40</v>
      </c>
      <c r="J60" s="129">
        <v>45</v>
      </c>
      <c r="K60" s="129">
        <v>50</v>
      </c>
      <c r="L60" s="129">
        <v>50</v>
      </c>
      <c r="M60" s="129">
        <v>50</v>
      </c>
    </row>
    <row r="61" spans="1:13" ht="21">
      <c r="A61" s="4"/>
      <c r="B61" s="269"/>
      <c r="C61" s="6"/>
      <c r="D61" s="6"/>
      <c r="E61" s="6" t="s">
        <v>301</v>
      </c>
      <c r="F61" s="49">
        <v>50.60532687651331</v>
      </c>
      <c r="G61" s="49">
        <v>44.88330341113106</v>
      </c>
      <c r="H61" s="49">
        <v>43</v>
      </c>
      <c r="I61" s="8"/>
      <c r="J61" s="8"/>
      <c r="K61" s="8"/>
      <c r="L61" s="8"/>
      <c r="M61" s="8"/>
    </row>
    <row r="62" spans="1:13" ht="21">
      <c r="A62" s="9" t="s">
        <v>335</v>
      </c>
      <c r="B62" s="268" t="s">
        <v>336</v>
      </c>
      <c r="C62" s="118" t="s">
        <v>337</v>
      </c>
      <c r="D62" s="118"/>
      <c r="E62" s="12" t="s">
        <v>300</v>
      </c>
      <c r="F62" s="13"/>
      <c r="G62" s="13"/>
      <c r="H62" s="42"/>
      <c r="I62" s="14">
        <v>17</v>
      </c>
      <c r="J62" s="14">
        <v>17</v>
      </c>
      <c r="K62" s="14">
        <v>20</v>
      </c>
      <c r="L62" s="14">
        <v>20</v>
      </c>
      <c r="M62" s="14">
        <v>20</v>
      </c>
    </row>
    <row r="63" spans="1:13" ht="21">
      <c r="A63" s="4"/>
      <c r="B63" s="269"/>
      <c r="C63" s="6"/>
      <c r="D63" s="6"/>
      <c r="E63" s="6" t="s">
        <v>301</v>
      </c>
      <c r="F63" s="8">
        <v>4</v>
      </c>
      <c r="G63" s="8">
        <v>6</v>
      </c>
      <c r="H63" s="8">
        <v>10</v>
      </c>
      <c r="I63" s="8"/>
      <c r="J63" s="8"/>
      <c r="K63" s="8"/>
      <c r="L63" s="8"/>
      <c r="M63" s="8"/>
    </row>
    <row r="64" spans="1:13" ht="21">
      <c r="A64" s="119" t="s">
        <v>338</v>
      </c>
      <c r="B64" s="268" t="s">
        <v>339</v>
      </c>
      <c r="C64" s="120" t="s">
        <v>303</v>
      </c>
      <c r="D64" s="120"/>
      <c r="E64" s="12" t="s">
        <v>300</v>
      </c>
      <c r="F64" s="130"/>
      <c r="G64" s="130"/>
      <c r="H64" s="130"/>
      <c r="I64" s="130"/>
      <c r="J64" s="130"/>
      <c r="K64" s="130"/>
      <c r="L64" s="130"/>
      <c r="M64" s="130"/>
    </row>
    <row r="65" spans="1:13" ht="21">
      <c r="A65" s="18"/>
      <c r="B65" s="278"/>
      <c r="C65" s="20"/>
      <c r="D65" s="20"/>
      <c r="E65" s="20" t="s">
        <v>301</v>
      </c>
      <c r="F65" s="131"/>
      <c r="G65" s="131"/>
      <c r="H65" s="131"/>
      <c r="I65" s="131"/>
      <c r="J65" s="131"/>
      <c r="K65" s="131"/>
      <c r="L65" s="131"/>
      <c r="M65" s="131"/>
    </row>
    <row r="66" spans="1:13" ht="21">
      <c r="A66" s="115" t="s">
        <v>132</v>
      </c>
      <c r="B66" s="116"/>
      <c r="C66" s="117"/>
      <c r="D66" s="117">
        <v>20</v>
      </c>
      <c r="E66" s="117"/>
      <c r="F66" s="117"/>
      <c r="G66" s="117"/>
      <c r="H66" s="117"/>
      <c r="I66" s="117"/>
      <c r="J66" s="117"/>
      <c r="K66" s="117"/>
      <c r="L66" s="117"/>
      <c r="M66" s="117"/>
    </row>
    <row r="67" spans="1:13" ht="21">
      <c r="A67" s="9" t="s">
        <v>133</v>
      </c>
      <c r="B67" s="270" t="s">
        <v>340</v>
      </c>
      <c r="C67" s="118" t="s">
        <v>299</v>
      </c>
      <c r="D67" s="118">
        <v>5</v>
      </c>
      <c r="E67" s="6" t="s">
        <v>300</v>
      </c>
      <c r="F67" s="7"/>
      <c r="G67" s="7"/>
      <c r="H67" s="7"/>
      <c r="I67" s="8">
        <v>6</v>
      </c>
      <c r="J67" s="8">
        <v>7</v>
      </c>
      <c r="K67" s="8">
        <v>8</v>
      </c>
      <c r="L67" s="8">
        <v>8</v>
      </c>
      <c r="M67" s="24" t="s">
        <v>135</v>
      </c>
    </row>
    <row r="68" spans="1:13" ht="21">
      <c r="A68" s="4"/>
      <c r="B68" s="269"/>
      <c r="C68" s="6"/>
      <c r="D68" s="6"/>
      <c r="E68" s="6" t="s">
        <v>301</v>
      </c>
      <c r="F68" s="8"/>
      <c r="G68" s="8"/>
      <c r="H68" s="8"/>
      <c r="I68" s="8"/>
      <c r="J68" s="8"/>
      <c r="K68" s="8"/>
      <c r="L68" s="8"/>
      <c r="M68" s="8"/>
    </row>
    <row r="69" spans="1:13" ht="21" customHeight="1">
      <c r="A69" s="9" t="s">
        <v>136</v>
      </c>
      <c r="B69" s="268" t="s">
        <v>341</v>
      </c>
      <c r="C69" s="118" t="s">
        <v>299</v>
      </c>
      <c r="D69" s="118">
        <v>5</v>
      </c>
      <c r="E69" s="12" t="s">
        <v>300</v>
      </c>
      <c r="F69" s="13"/>
      <c r="G69" s="13"/>
      <c r="H69" s="13"/>
      <c r="I69" s="14">
        <v>4</v>
      </c>
      <c r="J69" s="14">
        <v>4</v>
      </c>
      <c r="K69" s="14">
        <v>4</v>
      </c>
      <c r="L69" s="14">
        <v>4</v>
      </c>
      <c r="M69" s="15" t="s">
        <v>39</v>
      </c>
    </row>
    <row r="70" spans="1:13" ht="21">
      <c r="A70" s="4"/>
      <c r="B70" s="269"/>
      <c r="C70" s="6"/>
      <c r="D70" s="6"/>
      <c r="E70" s="6" t="s">
        <v>301</v>
      </c>
      <c r="F70" s="8"/>
      <c r="G70" s="8"/>
      <c r="H70" s="8"/>
      <c r="I70" s="8"/>
      <c r="J70" s="8"/>
      <c r="K70" s="8"/>
      <c r="L70" s="8"/>
      <c r="M70" s="8"/>
    </row>
    <row r="71" spans="1:13" ht="21" customHeight="1">
      <c r="A71" s="9" t="s">
        <v>138</v>
      </c>
      <c r="B71" s="268" t="s">
        <v>342</v>
      </c>
      <c r="C71" s="118" t="s">
        <v>303</v>
      </c>
      <c r="D71" s="118">
        <v>5</v>
      </c>
      <c r="E71" s="12" t="s">
        <v>300</v>
      </c>
      <c r="F71" s="13"/>
      <c r="G71" s="13"/>
      <c r="H71" s="40">
        <v>100</v>
      </c>
      <c r="I71" s="14">
        <v>60</v>
      </c>
      <c r="J71" s="14">
        <v>65</v>
      </c>
      <c r="K71" s="14">
        <v>70</v>
      </c>
      <c r="L71" s="14">
        <v>70</v>
      </c>
      <c r="M71" s="14">
        <v>70</v>
      </c>
    </row>
    <row r="72" spans="1:13" ht="21">
      <c r="A72" s="4"/>
      <c r="B72" s="269"/>
      <c r="C72" s="6"/>
      <c r="D72" s="6"/>
      <c r="E72" s="6" t="s">
        <v>301</v>
      </c>
      <c r="F72" s="30">
        <v>100</v>
      </c>
      <c r="G72" s="30">
        <v>100</v>
      </c>
      <c r="H72" s="30">
        <v>100</v>
      </c>
      <c r="I72" s="8"/>
      <c r="J72" s="8"/>
      <c r="K72" s="8"/>
      <c r="L72" s="8"/>
      <c r="M72" s="8"/>
    </row>
    <row r="73" spans="1:13" ht="21">
      <c r="A73" s="119" t="s">
        <v>141</v>
      </c>
      <c r="B73" s="268" t="s">
        <v>343</v>
      </c>
      <c r="C73" s="120" t="s">
        <v>303</v>
      </c>
      <c r="D73" s="120">
        <v>5</v>
      </c>
      <c r="E73" s="12" t="s">
        <v>300</v>
      </c>
      <c r="F73" s="13"/>
      <c r="G73" s="13"/>
      <c r="H73" s="39">
        <v>99</v>
      </c>
      <c r="I73" s="14">
        <v>99</v>
      </c>
      <c r="J73" s="14">
        <v>99</v>
      </c>
      <c r="K73" s="14">
        <v>99</v>
      </c>
      <c r="L73" s="14">
        <v>99</v>
      </c>
      <c r="M73" s="14">
        <v>99</v>
      </c>
    </row>
    <row r="74" spans="1:13" ht="21">
      <c r="A74" s="18"/>
      <c r="B74" s="278"/>
      <c r="C74" s="20"/>
      <c r="D74" s="20"/>
      <c r="E74" s="20" t="s">
        <v>301</v>
      </c>
      <c r="F74" s="51">
        <v>99.4</v>
      </c>
      <c r="G74" s="51">
        <v>99.11630558722919</v>
      </c>
      <c r="H74" s="51">
        <v>99.34354485776805</v>
      </c>
      <c r="I74" s="22"/>
      <c r="J74" s="22"/>
      <c r="K74" s="22"/>
      <c r="L74" s="22"/>
      <c r="M74" s="22"/>
    </row>
    <row r="75" spans="1:13" ht="21">
      <c r="A75" s="115" t="s">
        <v>143</v>
      </c>
      <c r="B75" s="116"/>
      <c r="C75" s="117"/>
      <c r="D75" s="117">
        <v>50</v>
      </c>
      <c r="E75" s="117"/>
      <c r="F75" s="117"/>
      <c r="G75" s="117"/>
      <c r="H75" s="117"/>
      <c r="I75" s="117"/>
      <c r="J75" s="117"/>
      <c r="K75" s="117"/>
      <c r="L75" s="117"/>
      <c r="M75" s="117"/>
    </row>
    <row r="76" spans="1:13" ht="21">
      <c r="A76" s="122" t="s">
        <v>344</v>
      </c>
      <c r="B76" s="123"/>
      <c r="C76" s="124"/>
      <c r="D76" s="124">
        <v>30</v>
      </c>
      <c r="E76" s="124"/>
      <c r="F76" s="124"/>
      <c r="G76" s="124"/>
      <c r="H76" s="124"/>
      <c r="I76" s="124"/>
      <c r="J76" s="124"/>
      <c r="K76" s="124"/>
      <c r="L76" s="124"/>
      <c r="M76" s="124"/>
    </row>
    <row r="77" spans="1:13" ht="21">
      <c r="A77" s="9" t="s">
        <v>144</v>
      </c>
      <c r="B77" s="270" t="s">
        <v>345</v>
      </c>
      <c r="C77" s="118" t="s">
        <v>315</v>
      </c>
      <c r="D77" s="118">
        <v>3</v>
      </c>
      <c r="E77" s="6" t="s">
        <v>300</v>
      </c>
      <c r="F77" s="7"/>
      <c r="G77" s="7"/>
      <c r="H77" s="7"/>
      <c r="I77" s="8">
        <v>6</v>
      </c>
      <c r="J77" s="8">
        <v>6</v>
      </c>
      <c r="K77" s="8">
        <v>6</v>
      </c>
      <c r="L77" s="8">
        <v>6</v>
      </c>
      <c r="M77" s="24" t="s">
        <v>146</v>
      </c>
    </row>
    <row r="78" spans="1:13" ht="21">
      <c r="A78" s="4"/>
      <c r="B78" s="269"/>
      <c r="C78" s="6"/>
      <c r="D78" s="6"/>
      <c r="E78" s="6" t="s">
        <v>301</v>
      </c>
      <c r="F78" s="8"/>
      <c r="G78" s="8"/>
      <c r="H78" s="8"/>
      <c r="I78" s="8"/>
      <c r="J78" s="8"/>
      <c r="K78" s="8"/>
      <c r="L78" s="8"/>
      <c r="M78" s="8"/>
    </row>
    <row r="79" spans="1:13" ht="21">
      <c r="A79" s="9" t="s">
        <v>147</v>
      </c>
      <c r="B79" s="268" t="s">
        <v>346</v>
      </c>
      <c r="C79" s="118" t="s">
        <v>315</v>
      </c>
      <c r="D79" s="118">
        <v>3</v>
      </c>
      <c r="E79" s="12" t="s">
        <v>300</v>
      </c>
      <c r="F79" s="13"/>
      <c r="G79" s="13"/>
      <c r="H79" s="13"/>
      <c r="I79" s="14">
        <v>4</v>
      </c>
      <c r="J79" s="14">
        <v>4</v>
      </c>
      <c r="K79" s="14">
        <v>4</v>
      </c>
      <c r="L79" s="14">
        <v>4</v>
      </c>
      <c r="M79" s="15" t="s">
        <v>39</v>
      </c>
    </row>
    <row r="80" spans="1:13" ht="21">
      <c r="A80" s="4"/>
      <c r="B80" s="269"/>
      <c r="C80" s="6"/>
      <c r="D80" s="6"/>
      <c r="E80" s="6" t="s">
        <v>301</v>
      </c>
      <c r="F80" s="8"/>
      <c r="G80" s="8"/>
      <c r="H80" s="8"/>
      <c r="I80" s="8"/>
      <c r="J80" s="8"/>
      <c r="K80" s="8"/>
      <c r="L80" s="8"/>
      <c r="M80" s="8"/>
    </row>
    <row r="81" spans="1:13" ht="21" customHeight="1">
      <c r="A81" s="9" t="s">
        <v>149</v>
      </c>
      <c r="B81" s="268" t="s">
        <v>347</v>
      </c>
      <c r="C81" s="118" t="s">
        <v>348</v>
      </c>
      <c r="D81" s="118">
        <v>3</v>
      </c>
      <c r="E81" s="12" t="s">
        <v>300</v>
      </c>
      <c r="F81" s="13"/>
      <c r="G81" s="13"/>
      <c r="H81" s="40">
        <v>275000</v>
      </c>
      <c r="I81" s="40">
        <v>275000</v>
      </c>
      <c r="J81" s="40">
        <v>280000</v>
      </c>
      <c r="K81" s="40">
        <v>285000</v>
      </c>
      <c r="L81" s="40">
        <v>320000</v>
      </c>
      <c r="M81" s="40">
        <v>325000</v>
      </c>
    </row>
    <row r="82" spans="1:13" ht="21">
      <c r="A82" s="4"/>
      <c r="B82" s="269"/>
      <c r="C82" s="6"/>
      <c r="D82" s="6"/>
      <c r="E82" s="6" t="s">
        <v>301</v>
      </c>
      <c r="F82" s="31">
        <v>355562.0609333333</v>
      </c>
      <c r="G82" s="31">
        <v>337489.15286666667</v>
      </c>
      <c r="H82" s="31">
        <v>272435.56618421053</v>
      </c>
      <c r="I82" s="31"/>
      <c r="J82" s="8"/>
      <c r="K82" s="8"/>
      <c r="L82" s="8"/>
      <c r="M82" s="8"/>
    </row>
    <row r="83" spans="1:13" ht="21" customHeight="1">
      <c r="A83" s="9" t="s">
        <v>151</v>
      </c>
      <c r="B83" s="268" t="s">
        <v>349</v>
      </c>
      <c r="C83" s="118" t="s">
        <v>303</v>
      </c>
      <c r="D83" s="118">
        <v>3</v>
      </c>
      <c r="E83" s="12" t="s">
        <v>300</v>
      </c>
      <c r="F83" s="13"/>
      <c r="G83" s="13"/>
      <c r="H83" s="132">
        <v>100</v>
      </c>
      <c r="I83" s="14">
        <v>110</v>
      </c>
      <c r="J83" s="14">
        <v>120</v>
      </c>
      <c r="K83" s="14">
        <v>130</v>
      </c>
      <c r="L83" s="14">
        <v>140</v>
      </c>
      <c r="M83" s="14">
        <v>150</v>
      </c>
    </row>
    <row r="84" spans="1:13" ht="42" customHeight="1">
      <c r="A84" s="4"/>
      <c r="B84" s="269"/>
      <c r="C84" s="6"/>
      <c r="D84" s="6"/>
      <c r="E84" s="6" t="s">
        <v>301</v>
      </c>
      <c r="F84" s="49">
        <v>82.34666666666666</v>
      </c>
      <c r="G84" s="49">
        <v>112.16666666666666</v>
      </c>
      <c r="H84" s="49">
        <v>159.3815789473684</v>
      </c>
      <c r="I84" s="8"/>
      <c r="J84" s="8"/>
      <c r="K84" s="8"/>
      <c r="L84" s="8"/>
      <c r="M84" s="8"/>
    </row>
    <row r="85" spans="1:13" ht="21" customHeight="1">
      <c r="A85" s="9" t="s">
        <v>154</v>
      </c>
      <c r="B85" s="268" t="s">
        <v>350</v>
      </c>
      <c r="C85" s="118" t="s">
        <v>348</v>
      </c>
      <c r="D85" s="118">
        <v>3</v>
      </c>
      <c r="E85" s="12" t="s">
        <v>300</v>
      </c>
      <c r="F85" s="43"/>
      <c r="G85" s="43"/>
      <c r="H85" s="40">
        <v>75000</v>
      </c>
      <c r="I85" s="40">
        <v>75000</v>
      </c>
      <c r="J85" s="40">
        <v>80000</v>
      </c>
      <c r="K85" s="40">
        <v>85000</v>
      </c>
      <c r="L85" s="40">
        <v>90000</v>
      </c>
      <c r="M85" s="40">
        <v>95000</v>
      </c>
    </row>
    <row r="86" spans="1:13" ht="21">
      <c r="A86" s="4"/>
      <c r="B86" s="269"/>
      <c r="C86" s="6"/>
      <c r="D86" s="6"/>
      <c r="E86" s="6" t="s">
        <v>301</v>
      </c>
      <c r="F86" s="31">
        <v>76094.16040000001</v>
      </c>
      <c r="G86" s="31">
        <v>71389.3256</v>
      </c>
      <c r="H86" s="31">
        <v>79517.95210526316</v>
      </c>
      <c r="I86" s="31"/>
      <c r="J86" s="31"/>
      <c r="K86" s="31"/>
      <c r="L86" s="31"/>
      <c r="M86" s="31"/>
    </row>
    <row r="87" spans="1:13" ht="21" customHeight="1">
      <c r="A87" s="9" t="s">
        <v>156</v>
      </c>
      <c r="B87" s="268" t="s">
        <v>351</v>
      </c>
      <c r="C87" s="118" t="s">
        <v>348</v>
      </c>
      <c r="D87" s="118">
        <v>3</v>
      </c>
      <c r="E87" s="12" t="s">
        <v>300</v>
      </c>
      <c r="F87" s="43"/>
      <c r="G87" s="43"/>
      <c r="H87" s="40">
        <v>200000</v>
      </c>
      <c r="I87" s="40">
        <v>200000</v>
      </c>
      <c r="J87" s="40">
        <v>200000</v>
      </c>
      <c r="K87" s="40">
        <v>200000</v>
      </c>
      <c r="L87" s="40">
        <v>230000</v>
      </c>
      <c r="M87" s="40">
        <v>230000</v>
      </c>
    </row>
    <row r="88" spans="1:13" ht="21">
      <c r="A88" s="4"/>
      <c r="B88" s="269"/>
      <c r="C88" s="6"/>
      <c r="D88" s="6"/>
      <c r="E88" s="6" t="s">
        <v>301</v>
      </c>
      <c r="F88" s="31">
        <v>279467.9005333333</v>
      </c>
      <c r="G88" s="31">
        <v>266099.8272666667</v>
      </c>
      <c r="H88" s="31">
        <v>192917.61407894737</v>
      </c>
      <c r="I88" s="31"/>
      <c r="J88" s="31"/>
      <c r="K88" s="31"/>
      <c r="L88" s="31"/>
      <c r="M88" s="31"/>
    </row>
    <row r="89" spans="1:13" ht="21" customHeight="1">
      <c r="A89" s="9" t="s">
        <v>158</v>
      </c>
      <c r="B89" s="268" t="s">
        <v>352</v>
      </c>
      <c r="C89" s="118" t="s">
        <v>303</v>
      </c>
      <c r="D89" s="118">
        <v>3</v>
      </c>
      <c r="E89" s="12" t="s">
        <v>300</v>
      </c>
      <c r="F89" s="13"/>
      <c r="G89" s="13"/>
      <c r="H89" s="14">
        <v>70</v>
      </c>
      <c r="I89" s="14">
        <v>60</v>
      </c>
      <c r="J89" s="14">
        <v>60</v>
      </c>
      <c r="K89" s="14">
        <v>60</v>
      </c>
      <c r="L89" s="14">
        <v>60</v>
      </c>
      <c r="M89" s="14">
        <v>60</v>
      </c>
    </row>
    <row r="90" spans="1:13" ht="21">
      <c r="A90" s="4"/>
      <c r="B90" s="269"/>
      <c r="C90" s="6"/>
      <c r="D90" s="6"/>
      <c r="E90" s="6" t="s">
        <v>301</v>
      </c>
      <c r="F90" s="49">
        <v>40.666666666666664</v>
      </c>
      <c r="G90" s="49">
        <v>40.666666666666664</v>
      </c>
      <c r="H90" s="133">
        <v>75</v>
      </c>
      <c r="I90" s="127"/>
      <c r="J90" s="8"/>
      <c r="K90" s="8"/>
      <c r="L90" s="8"/>
      <c r="M90" s="8"/>
    </row>
    <row r="91" spans="1:13" ht="21" customHeight="1">
      <c r="A91" s="9" t="s">
        <v>161</v>
      </c>
      <c r="B91" s="268" t="s">
        <v>353</v>
      </c>
      <c r="C91" s="118" t="s">
        <v>303</v>
      </c>
      <c r="D91" s="118">
        <v>3</v>
      </c>
      <c r="E91" s="12" t="s">
        <v>300</v>
      </c>
      <c r="F91" s="13"/>
      <c r="G91" s="13"/>
      <c r="H91" s="14">
        <v>40</v>
      </c>
      <c r="I91" s="14">
        <v>40</v>
      </c>
      <c r="J91" s="14">
        <v>42</v>
      </c>
      <c r="K91" s="14">
        <v>45</v>
      </c>
      <c r="L91" s="14">
        <v>45</v>
      </c>
      <c r="M91" s="14">
        <v>45</v>
      </c>
    </row>
    <row r="92" spans="1:13" ht="21">
      <c r="A92" s="4"/>
      <c r="B92" s="269"/>
      <c r="C92" s="6"/>
      <c r="D92" s="6"/>
      <c r="E92" s="6" t="s">
        <v>301</v>
      </c>
      <c r="F92" s="49">
        <v>32</v>
      </c>
      <c r="G92" s="49">
        <v>38</v>
      </c>
      <c r="H92" s="49">
        <v>28.947368421052634</v>
      </c>
      <c r="I92" s="127"/>
      <c r="J92" s="8"/>
      <c r="K92" s="8"/>
      <c r="L92" s="8"/>
      <c r="M92" s="8"/>
    </row>
    <row r="93" spans="1:13" ht="21">
      <c r="A93" s="9" t="s">
        <v>165</v>
      </c>
      <c r="B93" s="268" t="s">
        <v>354</v>
      </c>
      <c r="C93" s="118" t="s">
        <v>303</v>
      </c>
      <c r="D93" s="118">
        <v>3</v>
      </c>
      <c r="E93" s="12" t="s">
        <v>300</v>
      </c>
      <c r="F93" s="13"/>
      <c r="G93" s="13"/>
      <c r="H93" s="42"/>
      <c r="I93" s="14">
        <v>7</v>
      </c>
      <c r="J93" s="14">
        <v>8</v>
      </c>
      <c r="K93" s="14">
        <v>9</v>
      </c>
      <c r="L93" s="14">
        <v>10</v>
      </c>
      <c r="M93" s="14">
        <v>12</v>
      </c>
    </row>
    <row r="94" spans="1:13" ht="21">
      <c r="A94" s="4"/>
      <c r="B94" s="269"/>
      <c r="C94" s="6"/>
      <c r="D94" s="6"/>
      <c r="E94" s="6" t="s">
        <v>301</v>
      </c>
      <c r="F94" s="49">
        <v>2.96</v>
      </c>
      <c r="G94" s="49">
        <v>9.7</v>
      </c>
      <c r="H94" s="30">
        <v>7.14</v>
      </c>
      <c r="I94" s="30"/>
      <c r="J94" s="8"/>
      <c r="K94" s="8"/>
      <c r="L94" s="8"/>
      <c r="M94" s="8"/>
    </row>
    <row r="95" spans="1:13" ht="21">
      <c r="A95" s="9" t="s">
        <v>169</v>
      </c>
      <c r="B95" s="268" t="s">
        <v>355</v>
      </c>
      <c r="C95" s="118" t="s">
        <v>303</v>
      </c>
      <c r="D95" s="118">
        <v>3</v>
      </c>
      <c r="E95" s="12" t="s">
        <v>300</v>
      </c>
      <c r="F95" s="13"/>
      <c r="G95" s="13"/>
      <c r="H95" s="13"/>
      <c r="I95" s="14">
        <v>70</v>
      </c>
      <c r="J95" s="40">
        <v>71</v>
      </c>
      <c r="K95" s="40">
        <v>72</v>
      </c>
      <c r="L95" s="40">
        <v>73</v>
      </c>
      <c r="M95" s="40">
        <v>75</v>
      </c>
    </row>
    <row r="96" spans="1:13" ht="21">
      <c r="A96" s="4"/>
      <c r="B96" s="269"/>
      <c r="C96" s="6"/>
      <c r="D96" s="6"/>
      <c r="E96" s="6" t="s">
        <v>301</v>
      </c>
      <c r="F96" s="8"/>
      <c r="G96" s="127">
        <v>64</v>
      </c>
      <c r="H96" s="127">
        <v>71</v>
      </c>
      <c r="I96" s="127"/>
      <c r="J96" s="8"/>
      <c r="K96" s="8"/>
      <c r="L96" s="8"/>
      <c r="M96" s="8"/>
    </row>
    <row r="97" spans="1:13" ht="21">
      <c r="A97" s="9" t="s">
        <v>356</v>
      </c>
      <c r="B97" s="268" t="s">
        <v>357</v>
      </c>
      <c r="C97" s="118" t="s">
        <v>358</v>
      </c>
      <c r="D97" s="118"/>
      <c r="E97" s="12" t="s">
        <v>300</v>
      </c>
      <c r="F97" s="130"/>
      <c r="G97" s="130"/>
      <c r="H97" s="130"/>
      <c r="I97" s="130"/>
      <c r="J97" s="130"/>
      <c r="K97" s="130"/>
      <c r="L97" s="130"/>
      <c r="M97" s="130"/>
    </row>
    <row r="98" spans="1:13" ht="21">
      <c r="A98" s="4"/>
      <c r="B98" s="269"/>
      <c r="C98" s="6"/>
      <c r="D98" s="6"/>
      <c r="E98" s="6" t="s">
        <v>301</v>
      </c>
      <c r="F98" s="134"/>
      <c r="G98" s="134"/>
      <c r="H98" s="134"/>
      <c r="I98" s="134"/>
      <c r="J98" s="134"/>
      <c r="K98" s="134"/>
      <c r="L98" s="134"/>
      <c r="M98" s="134"/>
    </row>
    <row r="99" spans="1:13" ht="21">
      <c r="A99" s="122" t="s">
        <v>359</v>
      </c>
      <c r="B99" s="123"/>
      <c r="C99" s="124"/>
      <c r="D99" s="124">
        <v>20</v>
      </c>
      <c r="E99" s="124"/>
      <c r="F99" s="124"/>
      <c r="G99" s="124"/>
      <c r="H99" s="124"/>
      <c r="I99" s="124"/>
      <c r="J99" s="124"/>
      <c r="K99" s="124"/>
      <c r="L99" s="124"/>
      <c r="M99" s="124"/>
    </row>
    <row r="100" spans="1:13" ht="21" customHeight="1">
      <c r="A100" s="9" t="s">
        <v>172</v>
      </c>
      <c r="B100" s="270" t="s">
        <v>360</v>
      </c>
      <c r="C100" s="118" t="s">
        <v>303</v>
      </c>
      <c r="D100" s="118">
        <v>10</v>
      </c>
      <c r="E100" s="6" t="s">
        <v>300</v>
      </c>
      <c r="F100" s="7"/>
      <c r="G100" s="7"/>
      <c r="H100" s="8">
        <v>25</v>
      </c>
      <c r="I100" s="8">
        <v>30</v>
      </c>
      <c r="J100" s="8">
        <v>32</v>
      </c>
      <c r="K100" s="8">
        <v>33</v>
      </c>
      <c r="L100" s="8">
        <v>33</v>
      </c>
      <c r="M100" s="8">
        <v>33</v>
      </c>
    </row>
    <row r="101" spans="1:13" ht="21">
      <c r="A101" s="4"/>
      <c r="B101" s="269"/>
      <c r="C101" s="6"/>
      <c r="D101" s="6"/>
      <c r="E101" s="6" t="s">
        <v>301</v>
      </c>
      <c r="F101" s="49">
        <v>18.452380952380953</v>
      </c>
      <c r="G101" s="49">
        <v>27.10843373493976</v>
      </c>
      <c r="H101" s="30">
        <v>25.443786982248522</v>
      </c>
      <c r="I101" s="30"/>
      <c r="J101" s="8"/>
      <c r="K101" s="8"/>
      <c r="L101" s="8"/>
      <c r="M101" s="8"/>
    </row>
    <row r="102" spans="1:13" ht="21" customHeight="1">
      <c r="A102" s="119" t="s">
        <v>177</v>
      </c>
      <c r="B102" s="268" t="s">
        <v>361</v>
      </c>
      <c r="C102" s="120" t="s">
        <v>325</v>
      </c>
      <c r="D102" s="120">
        <v>10</v>
      </c>
      <c r="E102" s="12" t="s">
        <v>300</v>
      </c>
      <c r="F102" s="13"/>
      <c r="G102" s="13"/>
      <c r="H102" s="40">
        <v>2</v>
      </c>
      <c r="I102" s="14">
        <v>3</v>
      </c>
      <c r="J102" s="14">
        <v>3</v>
      </c>
      <c r="K102" s="14">
        <v>3</v>
      </c>
      <c r="L102" s="40">
        <v>4</v>
      </c>
      <c r="M102" s="40">
        <v>4</v>
      </c>
    </row>
    <row r="103" spans="1:13" ht="21">
      <c r="A103" s="18"/>
      <c r="B103" s="278"/>
      <c r="C103" s="20"/>
      <c r="D103" s="20"/>
      <c r="E103" s="20" t="s">
        <v>301</v>
      </c>
      <c r="F103" s="47">
        <v>2</v>
      </c>
      <c r="G103" s="47">
        <v>2</v>
      </c>
      <c r="H103" s="22">
        <v>5</v>
      </c>
      <c r="I103" s="22"/>
      <c r="J103" s="22"/>
      <c r="K103" s="22"/>
      <c r="L103" s="22"/>
      <c r="M103" s="22"/>
    </row>
    <row r="104" spans="1:13" ht="21">
      <c r="A104" s="115" t="s">
        <v>179</v>
      </c>
      <c r="B104" s="116"/>
      <c r="C104" s="117"/>
      <c r="D104" s="117">
        <v>20</v>
      </c>
      <c r="E104" s="117"/>
      <c r="F104" s="117"/>
      <c r="G104" s="117"/>
      <c r="H104" s="117"/>
      <c r="I104" s="117"/>
      <c r="J104" s="117"/>
      <c r="K104" s="117"/>
      <c r="L104" s="117"/>
      <c r="M104" s="117"/>
    </row>
    <row r="105" spans="1:13" ht="21">
      <c r="A105" s="9" t="s">
        <v>180</v>
      </c>
      <c r="B105" s="270" t="s">
        <v>362</v>
      </c>
      <c r="C105" s="118" t="s">
        <v>299</v>
      </c>
      <c r="D105" s="118">
        <v>2.5</v>
      </c>
      <c r="E105" s="6" t="s">
        <v>300</v>
      </c>
      <c r="F105" s="7"/>
      <c r="G105" s="7"/>
      <c r="H105" s="7"/>
      <c r="I105" s="8">
        <v>6</v>
      </c>
      <c r="J105" s="8">
        <v>6</v>
      </c>
      <c r="K105" s="8">
        <v>7</v>
      </c>
      <c r="L105" s="8">
        <v>7</v>
      </c>
      <c r="M105" s="24" t="s">
        <v>34</v>
      </c>
    </row>
    <row r="106" spans="1:13" ht="21">
      <c r="A106" s="4"/>
      <c r="B106" s="269"/>
      <c r="C106" s="6"/>
      <c r="D106" s="6"/>
      <c r="E106" s="6" t="s">
        <v>301</v>
      </c>
      <c r="F106" s="8"/>
      <c r="G106" s="8"/>
      <c r="H106" s="8"/>
      <c r="I106" s="8"/>
      <c r="J106" s="8"/>
      <c r="K106" s="8"/>
      <c r="L106" s="8"/>
      <c r="M106" s="8"/>
    </row>
    <row r="107" spans="1:13" ht="21" customHeight="1">
      <c r="A107" s="9" t="s">
        <v>182</v>
      </c>
      <c r="B107" s="268" t="s">
        <v>363</v>
      </c>
      <c r="C107" s="118" t="s">
        <v>303</v>
      </c>
      <c r="D107" s="118">
        <v>2.5</v>
      </c>
      <c r="E107" s="12" t="s">
        <v>300</v>
      </c>
      <c r="F107" s="13"/>
      <c r="G107" s="43"/>
      <c r="H107" s="14">
        <v>20</v>
      </c>
      <c r="I107" s="14">
        <v>25</v>
      </c>
      <c r="J107" s="14">
        <v>27</v>
      </c>
      <c r="K107" s="14">
        <v>30</v>
      </c>
      <c r="L107" s="14">
        <v>30</v>
      </c>
      <c r="M107" s="14">
        <v>30</v>
      </c>
    </row>
    <row r="108" spans="1:13" ht="42" customHeight="1">
      <c r="A108" s="4"/>
      <c r="B108" s="269"/>
      <c r="C108" s="6"/>
      <c r="D108" s="6"/>
      <c r="E108" s="6" t="s">
        <v>301</v>
      </c>
      <c r="F108" s="49">
        <v>14.880952380952381</v>
      </c>
      <c r="G108" s="30">
        <v>20.481927710843372</v>
      </c>
      <c r="H108" s="30">
        <v>46.75</v>
      </c>
      <c r="I108" s="127"/>
      <c r="J108" s="31"/>
      <c r="K108" s="31"/>
      <c r="L108" s="31"/>
      <c r="M108" s="8"/>
    </row>
    <row r="109" spans="1:13" ht="21" customHeight="1">
      <c r="A109" s="9" t="s">
        <v>189</v>
      </c>
      <c r="B109" s="268" t="s">
        <v>364</v>
      </c>
      <c r="C109" s="118" t="s">
        <v>303</v>
      </c>
      <c r="D109" s="118">
        <v>2.5</v>
      </c>
      <c r="E109" s="12" t="s">
        <v>300</v>
      </c>
      <c r="F109" s="13"/>
      <c r="G109" s="43"/>
      <c r="H109" s="43"/>
      <c r="I109" s="225">
        <v>45</v>
      </c>
      <c r="J109" s="225">
        <v>45</v>
      </c>
      <c r="K109" s="225">
        <v>50</v>
      </c>
      <c r="L109" s="225">
        <v>50</v>
      </c>
      <c r="M109" s="225">
        <v>50</v>
      </c>
    </row>
    <row r="110" spans="1:13" ht="21">
      <c r="A110" s="4"/>
      <c r="B110" s="269"/>
      <c r="C110" s="6"/>
      <c r="D110" s="6"/>
      <c r="E110" s="6" t="s">
        <v>301</v>
      </c>
      <c r="F110" s="162">
        <f>88/150*100</f>
        <v>58.666666666666664</v>
      </c>
      <c r="G110" s="162">
        <f>83/150*100</f>
        <v>55.333333333333336</v>
      </c>
      <c r="H110" s="162">
        <f>67/152*100</f>
        <v>44.07894736842105</v>
      </c>
      <c r="I110" s="31"/>
      <c r="J110" s="31"/>
      <c r="K110" s="31"/>
      <c r="L110" s="31"/>
      <c r="M110" s="8"/>
    </row>
    <row r="111" spans="1:13" ht="21">
      <c r="A111" s="9" t="s">
        <v>191</v>
      </c>
      <c r="B111" s="268" t="s">
        <v>365</v>
      </c>
      <c r="C111" s="118" t="s">
        <v>303</v>
      </c>
      <c r="D111" s="118">
        <v>2.5</v>
      </c>
      <c r="E111" s="12" t="s">
        <v>300</v>
      </c>
      <c r="F111" s="13"/>
      <c r="G111" s="13"/>
      <c r="H111" s="14">
        <v>80</v>
      </c>
      <c r="I111" s="14">
        <v>80</v>
      </c>
      <c r="J111" s="14">
        <v>80</v>
      </c>
      <c r="K111" s="14">
        <v>80</v>
      </c>
      <c r="L111" s="14">
        <v>80</v>
      </c>
      <c r="M111" s="15" t="s">
        <v>120</v>
      </c>
    </row>
    <row r="112" spans="1:13" ht="21">
      <c r="A112" s="4"/>
      <c r="B112" s="269"/>
      <c r="C112" s="6"/>
      <c r="D112" s="6"/>
      <c r="E112" s="6" t="s">
        <v>301</v>
      </c>
      <c r="F112" s="8">
        <v>95.93</v>
      </c>
      <c r="G112" s="8">
        <v>86.91</v>
      </c>
      <c r="H112" s="8">
        <v>83.57</v>
      </c>
      <c r="I112" s="8"/>
      <c r="J112" s="8"/>
      <c r="K112" s="8"/>
      <c r="L112" s="8"/>
      <c r="M112" s="8"/>
    </row>
    <row r="113" spans="1:13" ht="21" customHeight="1">
      <c r="A113" s="9" t="s">
        <v>193</v>
      </c>
      <c r="B113" s="268" t="s">
        <v>366</v>
      </c>
      <c r="C113" s="118" t="s">
        <v>348</v>
      </c>
      <c r="D113" s="118">
        <v>2.5</v>
      </c>
      <c r="E113" s="12" t="s">
        <v>300</v>
      </c>
      <c r="F113" s="13"/>
      <c r="G113" s="43"/>
      <c r="H113" s="43"/>
      <c r="I113" s="40">
        <v>8000</v>
      </c>
      <c r="J113" s="40">
        <v>8000</v>
      </c>
      <c r="K113" s="40">
        <v>8000</v>
      </c>
      <c r="L113" s="40">
        <v>8000</v>
      </c>
      <c r="M113" s="40">
        <v>8000</v>
      </c>
    </row>
    <row r="114" spans="1:13" ht="21">
      <c r="A114" s="4"/>
      <c r="B114" s="269"/>
      <c r="C114" s="6"/>
      <c r="D114" s="6"/>
      <c r="E114" s="6" t="s">
        <v>301</v>
      </c>
      <c r="F114" s="49">
        <v>8234.7212</v>
      </c>
      <c r="G114" s="49">
        <v>8364.34</v>
      </c>
      <c r="H114" s="49">
        <v>7919.14</v>
      </c>
      <c r="I114" s="31"/>
      <c r="J114" s="31"/>
      <c r="K114" s="31"/>
      <c r="L114" s="31"/>
      <c r="M114" s="31"/>
    </row>
    <row r="115" spans="1:13" ht="21" customHeight="1">
      <c r="A115" s="9" t="s">
        <v>195</v>
      </c>
      <c r="B115" s="268" t="s">
        <v>367</v>
      </c>
      <c r="C115" s="118" t="s">
        <v>299</v>
      </c>
      <c r="D115" s="118">
        <v>2.5</v>
      </c>
      <c r="E115" s="12" t="s">
        <v>300</v>
      </c>
      <c r="F115" s="13"/>
      <c r="G115" s="13"/>
      <c r="H115" s="40">
        <v>5</v>
      </c>
      <c r="I115" s="14">
        <v>5</v>
      </c>
      <c r="J115" s="14">
        <v>5</v>
      </c>
      <c r="K115" s="14">
        <v>5</v>
      </c>
      <c r="L115" s="40">
        <v>5</v>
      </c>
      <c r="M115" s="40">
        <v>5</v>
      </c>
    </row>
    <row r="116" spans="1:13" ht="21">
      <c r="A116" s="4"/>
      <c r="B116" s="269"/>
      <c r="C116" s="6"/>
      <c r="D116" s="6"/>
      <c r="E116" s="6" t="s">
        <v>301</v>
      </c>
      <c r="F116" s="31">
        <v>3</v>
      </c>
      <c r="G116" s="31">
        <v>5</v>
      </c>
      <c r="H116" s="31">
        <v>5</v>
      </c>
      <c r="I116" s="8"/>
      <c r="J116" s="8"/>
      <c r="K116" s="8"/>
      <c r="L116" s="8"/>
      <c r="M116" s="8"/>
    </row>
    <row r="117" spans="1:13" ht="21" customHeight="1">
      <c r="A117" s="9" t="s">
        <v>197</v>
      </c>
      <c r="B117" s="268" t="s">
        <v>368</v>
      </c>
      <c r="C117" s="118" t="s">
        <v>303</v>
      </c>
      <c r="D117" s="118">
        <v>2.5</v>
      </c>
      <c r="E117" s="12" t="s">
        <v>300</v>
      </c>
      <c r="F117" s="13"/>
      <c r="G117" s="13"/>
      <c r="H117" s="42"/>
      <c r="I117" s="132">
        <v>0.2</v>
      </c>
      <c r="J117" s="132">
        <v>0.2</v>
      </c>
      <c r="K117" s="132">
        <v>0.2</v>
      </c>
      <c r="L117" s="132">
        <v>0.2</v>
      </c>
      <c r="M117" s="132">
        <v>0.2</v>
      </c>
    </row>
    <row r="118" spans="1:13" ht="21">
      <c r="A118" s="4"/>
      <c r="B118" s="269"/>
      <c r="C118" s="6"/>
      <c r="D118" s="6"/>
      <c r="E118" s="6" t="s">
        <v>301</v>
      </c>
      <c r="F118" s="49"/>
      <c r="G118" s="49"/>
      <c r="H118" s="49"/>
      <c r="I118" s="49"/>
      <c r="J118" s="8"/>
      <c r="K118" s="8"/>
      <c r="L118" s="8"/>
      <c r="M118" s="8"/>
    </row>
    <row r="119" spans="1:13" ht="21">
      <c r="A119" s="9" t="s">
        <v>199</v>
      </c>
      <c r="B119" s="268" t="s">
        <v>369</v>
      </c>
      <c r="C119" s="118" t="s">
        <v>303</v>
      </c>
      <c r="D119" s="118">
        <v>2.5</v>
      </c>
      <c r="E119" s="12" t="s">
        <v>300</v>
      </c>
      <c r="F119" s="13"/>
      <c r="G119" s="13"/>
      <c r="H119" s="42"/>
      <c r="I119" s="39">
        <v>5</v>
      </c>
      <c r="J119" s="39">
        <v>5</v>
      </c>
      <c r="K119" s="39">
        <v>7</v>
      </c>
      <c r="L119" s="39">
        <v>7</v>
      </c>
      <c r="M119" s="39">
        <v>7</v>
      </c>
    </row>
    <row r="120" spans="1:13" ht="21">
      <c r="A120" s="4"/>
      <c r="B120" s="269"/>
      <c r="C120" s="6"/>
      <c r="D120" s="6"/>
      <c r="E120" s="6" t="s">
        <v>301</v>
      </c>
      <c r="F120" s="49"/>
      <c r="G120" s="49"/>
      <c r="H120" s="49"/>
      <c r="I120" s="30"/>
      <c r="J120" s="8"/>
      <c r="K120" s="8"/>
      <c r="L120" s="8"/>
      <c r="M120" s="8"/>
    </row>
    <row r="121" spans="1:13" ht="21" customHeight="1">
      <c r="A121" s="9" t="s">
        <v>370</v>
      </c>
      <c r="B121" s="268" t="s">
        <v>371</v>
      </c>
      <c r="C121" s="118" t="s">
        <v>372</v>
      </c>
      <c r="D121" s="118"/>
      <c r="E121" s="12" t="s">
        <v>300</v>
      </c>
      <c r="F121" s="13"/>
      <c r="G121" s="13"/>
      <c r="H121" s="13"/>
      <c r="I121" s="14">
        <v>6</v>
      </c>
      <c r="J121" s="14">
        <v>6</v>
      </c>
      <c r="K121" s="14">
        <v>6</v>
      </c>
      <c r="L121" s="14">
        <v>6</v>
      </c>
      <c r="M121" s="14">
        <v>6</v>
      </c>
    </row>
    <row r="122" spans="1:13" ht="21">
      <c r="A122" s="4"/>
      <c r="B122" s="269"/>
      <c r="C122" s="6"/>
      <c r="D122" s="6"/>
      <c r="E122" s="6" t="s">
        <v>301</v>
      </c>
      <c r="F122" s="28">
        <v>6</v>
      </c>
      <c r="G122" s="28">
        <v>6</v>
      </c>
      <c r="H122" s="28">
        <v>6</v>
      </c>
      <c r="I122" s="8"/>
      <c r="J122" s="8"/>
      <c r="K122" s="8"/>
      <c r="L122" s="8"/>
      <c r="M122" s="8"/>
    </row>
    <row r="123" spans="1:13" ht="21" customHeight="1">
      <c r="A123" s="9" t="s">
        <v>373</v>
      </c>
      <c r="B123" s="268" t="s">
        <v>374</v>
      </c>
      <c r="C123" s="118" t="s">
        <v>348</v>
      </c>
      <c r="D123" s="118"/>
      <c r="E123" s="12" t="s">
        <v>300</v>
      </c>
      <c r="F123" s="13"/>
      <c r="G123" s="13"/>
      <c r="H123" s="42"/>
      <c r="I123" s="13"/>
      <c r="J123" s="13"/>
      <c r="K123" s="13"/>
      <c r="L123" s="13"/>
      <c r="M123" s="13"/>
    </row>
    <row r="124" spans="1:13" ht="21">
      <c r="A124" s="4"/>
      <c r="B124" s="269"/>
      <c r="C124" s="6"/>
      <c r="D124" s="6"/>
      <c r="E124" s="6" t="s">
        <v>301</v>
      </c>
      <c r="F124" s="49">
        <v>58150.59753333334</v>
      </c>
      <c r="G124" s="49">
        <v>46956.29206666666</v>
      </c>
      <c r="H124" s="31">
        <v>44081.01789473684</v>
      </c>
      <c r="I124" s="8"/>
      <c r="J124" s="8"/>
      <c r="K124" s="8"/>
      <c r="L124" s="8"/>
      <c r="M124" s="8"/>
    </row>
    <row r="125" spans="1:13" ht="21">
      <c r="A125" s="119" t="s">
        <v>375</v>
      </c>
      <c r="B125" s="268" t="s">
        <v>376</v>
      </c>
      <c r="C125" s="120" t="s">
        <v>299</v>
      </c>
      <c r="D125" s="120"/>
      <c r="E125" s="12" t="s">
        <v>300</v>
      </c>
      <c r="F125" s="43"/>
      <c r="G125" s="43"/>
      <c r="H125" s="43"/>
      <c r="I125" s="13"/>
      <c r="J125" s="13"/>
      <c r="K125" s="13"/>
      <c r="L125" s="43"/>
      <c r="M125" s="43"/>
    </row>
    <row r="126" spans="1:13" ht="21">
      <c r="A126" s="18"/>
      <c r="B126" s="278"/>
      <c r="C126" s="20"/>
      <c r="D126" s="20"/>
      <c r="E126" s="20" t="s">
        <v>301</v>
      </c>
      <c r="F126" s="121">
        <v>3</v>
      </c>
      <c r="G126" s="121">
        <v>5</v>
      </c>
      <c r="H126" s="121">
        <v>5</v>
      </c>
      <c r="I126" s="22"/>
      <c r="J126" s="22"/>
      <c r="K126" s="22"/>
      <c r="L126" s="47"/>
      <c r="M126" s="22"/>
    </row>
    <row r="127" spans="1:13" ht="21">
      <c r="A127" s="115" t="s">
        <v>201</v>
      </c>
      <c r="B127" s="116"/>
      <c r="C127" s="117"/>
      <c r="D127" s="117">
        <v>10</v>
      </c>
      <c r="E127" s="117"/>
      <c r="F127" s="117"/>
      <c r="G127" s="117"/>
      <c r="H127" s="117"/>
      <c r="I127" s="117"/>
      <c r="J127" s="117"/>
      <c r="K127" s="117"/>
      <c r="L127" s="117"/>
      <c r="M127" s="117"/>
    </row>
    <row r="128" spans="1:13" ht="21">
      <c r="A128" s="9" t="s">
        <v>202</v>
      </c>
      <c r="B128" s="270" t="s">
        <v>377</v>
      </c>
      <c r="C128" s="118" t="s">
        <v>299</v>
      </c>
      <c r="D128" s="118">
        <v>3.33</v>
      </c>
      <c r="E128" s="6" t="s">
        <v>300</v>
      </c>
      <c r="F128" s="7"/>
      <c r="G128" s="7"/>
      <c r="H128" s="7"/>
      <c r="I128" s="8">
        <v>3</v>
      </c>
      <c r="J128" s="8">
        <v>3</v>
      </c>
      <c r="K128" s="8">
        <v>3</v>
      </c>
      <c r="L128" s="8">
        <v>3</v>
      </c>
      <c r="M128" s="24" t="s">
        <v>204</v>
      </c>
    </row>
    <row r="129" spans="1:13" ht="21">
      <c r="A129" s="4"/>
      <c r="B129" s="269"/>
      <c r="C129" s="6"/>
      <c r="D129" s="6"/>
      <c r="E129" s="6" t="s">
        <v>301</v>
      </c>
      <c r="F129" s="8"/>
      <c r="G129" s="8"/>
      <c r="H129" s="8"/>
      <c r="I129" s="8"/>
      <c r="J129" s="8"/>
      <c r="K129" s="8"/>
      <c r="L129" s="8"/>
      <c r="M129" s="8"/>
    </row>
    <row r="130" spans="1:13" ht="21" customHeight="1">
      <c r="A130" s="9" t="s">
        <v>205</v>
      </c>
      <c r="B130" s="268" t="s">
        <v>378</v>
      </c>
      <c r="C130" s="118" t="s">
        <v>303</v>
      </c>
      <c r="D130" s="118">
        <v>3.33</v>
      </c>
      <c r="E130" s="12" t="s">
        <v>300</v>
      </c>
      <c r="F130" s="13"/>
      <c r="G130" s="13"/>
      <c r="H130" s="132">
        <v>15</v>
      </c>
      <c r="I130" s="39">
        <v>2</v>
      </c>
      <c r="J130" s="39">
        <v>2</v>
      </c>
      <c r="K130" s="39">
        <v>2</v>
      </c>
      <c r="L130" s="39">
        <v>2.5</v>
      </c>
      <c r="M130" s="39">
        <v>2.5</v>
      </c>
    </row>
    <row r="131" spans="1:13" ht="21">
      <c r="A131" s="4"/>
      <c r="B131" s="269"/>
      <c r="C131" s="6"/>
      <c r="D131" s="6"/>
      <c r="E131" s="6" t="s">
        <v>301</v>
      </c>
      <c r="F131" s="49">
        <v>8.735987630459991</v>
      </c>
      <c r="G131" s="49">
        <v>15.723483564893256</v>
      </c>
      <c r="H131" s="49">
        <v>23.73572593800979</v>
      </c>
      <c r="I131" s="30"/>
      <c r="J131" s="8"/>
      <c r="K131" s="8"/>
      <c r="L131" s="8"/>
      <c r="M131" s="8"/>
    </row>
    <row r="132" spans="1:13" ht="21" customHeight="1">
      <c r="A132" s="9" t="s">
        <v>207</v>
      </c>
      <c r="B132" s="268" t="s">
        <v>379</v>
      </c>
      <c r="C132" s="118" t="s">
        <v>303</v>
      </c>
      <c r="D132" s="118">
        <v>3.34</v>
      </c>
      <c r="E132" s="12" t="s">
        <v>300</v>
      </c>
      <c r="F132" s="13"/>
      <c r="G132" s="13"/>
      <c r="H132" s="132">
        <v>0.55</v>
      </c>
      <c r="I132" s="39">
        <v>1</v>
      </c>
      <c r="J132" s="39">
        <v>1</v>
      </c>
      <c r="K132" s="39">
        <v>1</v>
      </c>
      <c r="L132" s="39">
        <v>1</v>
      </c>
      <c r="M132" s="39">
        <v>1</v>
      </c>
    </row>
    <row r="133" spans="1:13" ht="21">
      <c r="A133" s="4"/>
      <c r="B133" s="269"/>
      <c r="C133" s="6"/>
      <c r="D133" s="6"/>
      <c r="E133" s="6" t="s">
        <v>301</v>
      </c>
      <c r="F133" s="49">
        <v>0.5127105582421945</v>
      </c>
      <c r="G133" s="49">
        <v>0.8337928274307099</v>
      </c>
      <c r="H133" s="49">
        <v>0.7124308575489289</v>
      </c>
      <c r="I133" s="30"/>
      <c r="J133" s="8"/>
      <c r="K133" s="8"/>
      <c r="L133" s="8"/>
      <c r="M133" s="8"/>
    </row>
    <row r="134" spans="1:13" ht="21">
      <c r="A134" s="9" t="s">
        <v>380</v>
      </c>
      <c r="B134" s="268" t="s">
        <v>381</v>
      </c>
      <c r="C134" s="118" t="s">
        <v>382</v>
      </c>
      <c r="D134" s="118"/>
      <c r="E134" s="12" t="s">
        <v>300</v>
      </c>
      <c r="F134" s="13"/>
      <c r="G134" s="13"/>
      <c r="H134" s="42"/>
      <c r="I134" s="43"/>
      <c r="J134" s="43"/>
      <c r="K134" s="43"/>
      <c r="L134" s="43"/>
      <c r="M134" s="43"/>
    </row>
    <row r="135" spans="1:13" ht="21">
      <c r="A135" s="4"/>
      <c r="B135" s="269"/>
      <c r="C135" s="6"/>
      <c r="D135" s="6"/>
      <c r="E135" s="6" t="s">
        <v>301</v>
      </c>
      <c r="F135" s="49" t="s">
        <v>21</v>
      </c>
      <c r="G135" s="49" t="s">
        <v>21</v>
      </c>
      <c r="H135" s="28">
        <v>2</v>
      </c>
      <c r="I135" s="31"/>
      <c r="J135" s="8"/>
      <c r="K135" s="8"/>
      <c r="L135" s="8"/>
      <c r="M135" s="8"/>
    </row>
    <row r="136" spans="1:13" ht="21">
      <c r="A136" s="9" t="s">
        <v>383</v>
      </c>
      <c r="B136" s="268" t="s">
        <v>384</v>
      </c>
      <c r="C136" s="118" t="s">
        <v>299</v>
      </c>
      <c r="D136" s="118"/>
      <c r="E136" s="12" t="s">
        <v>300</v>
      </c>
      <c r="F136" s="13"/>
      <c r="G136" s="13"/>
      <c r="H136" s="43"/>
      <c r="I136" s="43"/>
      <c r="J136" s="43"/>
      <c r="K136" s="43"/>
      <c r="L136" s="43"/>
      <c r="M136" s="43"/>
    </row>
    <row r="137" spans="1:13" ht="21">
      <c r="A137" s="4"/>
      <c r="B137" s="269"/>
      <c r="C137" s="6"/>
      <c r="D137" s="6"/>
      <c r="E137" s="6" t="s">
        <v>301</v>
      </c>
      <c r="F137" s="31">
        <v>2</v>
      </c>
      <c r="G137" s="31">
        <v>2</v>
      </c>
      <c r="H137" s="28">
        <v>2</v>
      </c>
      <c r="I137" s="31"/>
      <c r="J137" s="8"/>
      <c r="K137" s="8"/>
      <c r="L137" s="8"/>
      <c r="M137" s="8"/>
    </row>
    <row r="138" spans="1:13" ht="21">
      <c r="A138" s="119" t="s">
        <v>385</v>
      </c>
      <c r="B138" s="268" t="s">
        <v>386</v>
      </c>
      <c r="C138" s="120" t="s">
        <v>387</v>
      </c>
      <c r="D138" s="120"/>
      <c r="E138" s="12" t="s">
        <v>300</v>
      </c>
      <c r="F138" s="13"/>
      <c r="G138" s="13"/>
      <c r="H138" s="13"/>
      <c r="I138" s="13"/>
      <c r="J138" s="13"/>
      <c r="K138" s="13"/>
      <c r="L138" s="13"/>
      <c r="M138" s="43"/>
    </row>
    <row r="139" spans="1:13" ht="21">
      <c r="A139" s="18"/>
      <c r="B139" s="278"/>
      <c r="C139" s="20"/>
      <c r="D139" s="20"/>
      <c r="E139" s="20" t="s">
        <v>301</v>
      </c>
      <c r="F139" s="135" t="s">
        <v>21</v>
      </c>
      <c r="G139" s="135" t="s">
        <v>21</v>
      </c>
      <c r="H139" s="135" t="s">
        <v>21</v>
      </c>
      <c r="I139" s="22"/>
      <c r="J139" s="22"/>
      <c r="K139" s="22"/>
      <c r="L139" s="22"/>
      <c r="M139" s="22"/>
    </row>
    <row r="140" spans="1:13" ht="21">
      <c r="A140" s="115" t="s">
        <v>209</v>
      </c>
      <c r="B140" s="116"/>
      <c r="C140" s="117"/>
      <c r="D140" s="117">
        <v>19.91</v>
      </c>
      <c r="E140" s="117"/>
      <c r="F140" s="117"/>
      <c r="G140" s="117"/>
      <c r="H140" s="117"/>
      <c r="I140" s="117"/>
      <c r="J140" s="117"/>
      <c r="K140" s="117"/>
      <c r="L140" s="117"/>
      <c r="M140" s="117"/>
    </row>
    <row r="141" spans="1:13" ht="21" customHeight="1">
      <c r="A141" s="9" t="s">
        <v>210</v>
      </c>
      <c r="B141" s="270" t="s">
        <v>388</v>
      </c>
      <c r="C141" s="118" t="s">
        <v>315</v>
      </c>
      <c r="D141" s="118">
        <v>1.53</v>
      </c>
      <c r="E141" s="6" t="s">
        <v>300</v>
      </c>
      <c r="F141" s="7"/>
      <c r="G141" s="7"/>
      <c r="H141" s="7"/>
      <c r="I141" s="8">
        <v>5</v>
      </c>
      <c r="J141" s="8">
        <v>5</v>
      </c>
      <c r="K141" s="8">
        <v>5</v>
      </c>
      <c r="L141" s="8">
        <v>5</v>
      </c>
      <c r="M141" s="24" t="s">
        <v>38</v>
      </c>
    </row>
    <row r="142" spans="1:13" ht="21">
      <c r="A142" s="4"/>
      <c r="B142" s="269"/>
      <c r="C142" s="6"/>
      <c r="D142" s="6"/>
      <c r="E142" s="6" t="s">
        <v>301</v>
      </c>
      <c r="F142" s="8"/>
      <c r="G142" s="8"/>
      <c r="H142" s="8"/>
      <c r="I142" s="8"/>
      <c r="J142" s="8"/>
      <c r="K142" s="8"/>
      <c r="L142" s="8"/>
      <c r="M142" s="8"/>
    </row>
    <row r="143" spans="1:13" ht="21">
      <c r="A143" s="9" t="s">
        <v>212</v>
      </c>
      <c r="B143" s="268" t="s">
        <v>389</v>
      </c>
      <c r="C143" s="118" t="s">
        <v>299</v>
      </c>
      <c r="D143" s="118">
        <v>1.53</v>
      </c>
      <c r="E143" s="12" t="s">
        <v>300</v>
      </c>
      <c r="F143" s="13"/>
      <c r="G143" s="13"/>
      <c r="H143" s="13"/>
      <c r="I143" s="14">
        <v>3</v>
      </c>
      <c r="J143" s="14">
        <v>3</v>
      </c>
      <c r="K143" s="14">
        <v>3</v>
      </c>
      <c r="L143" s="14">
        <v>3</v>
      </c>
      <c r="M143" s="15" t="s">
        <v>204</v>
      </c>
    </row>
    <row r="144" spans="1:13" ht="21">
      <c r="A144" s="4"/>
      <c r="B144" s="269"/>
      <c r="C144" s="6"/>
      <c r="D144" s="6"/>
      <c r="E144" s="6" t="s">
        <v>301</v>
      </c>
      <c r="F144" s="8"/>
      <c r="G144" s="8"/>
      <c r="H144" s="8"/>
      <c r="I144" s="8"/>
      <c r="J144" s="8"/>
      <c r="K144" s="8"/>
      <c r="L144" s="8"/>
      <c r="M144" s="8"/>
    </row>
    <row r="145" spans="1:13" ht="21">
      <c r="A145" s="9" t="s">
        <v>214</v>
      </c>
      <c r="B145" s="268" t="s">
        <v>390</v>
      </c>
      <c r="C145" s="118" t="s">
        <v>299</v>
      </c>
      <c r="D145" s="118">
        <v>1.53</v>
      </c>
      <c r="E145" s="12" t="s">
        <v>300</v>
      </c>
      <c r="F145" s="13"/>
      <c r="G145" s="13"/>
      <c r="H145" s="13"/>
      <c r="I145" s="14">
        <v>2</v>
      </c>
      <c r="J145" s="14">
        <v>4</v>
      </c>
      <c r="K145" s="14">
        <v>4</v>
      </c>
      <c r="L145" s="14">
        <v>5</v>
      </c>
      <c r="M145" s="15" t="s">
        <v>38</v>
      </c>
    </row>
    <row r="146" spans="1:13" ht="21">
      <c r="A146" s="4"/>
      <c r="B146" s="269"/>
      <c r="C146" s="6"/>
      <c r="D146" s="6"/>
      <c r="E146" s="6" t="s">
        <v>301</v>
      </c>
      <c r="F146" s="8"/>
      <c r="G146" s="8"/>
      <c r="H146" s="8"/>
      <c r="I146" s="8"/>
      <c r="J146" s="8"/>
      <c r="K146" s="8"/>
      <c r="L146" s="8"/>
      <c r="M146" s="8"/>
    </row>
    <row r="147" spans="1:13" ht="21" customHeight="1">
      <c r="A147" s="9" t="s">
        <v>216</v>
      </c>
      <c r="B147" s="268" t="s">
        <v>391</v>
      </c>
      <c r="C147" s="118" t="s">
        <v>299</v>
      </c>
      <c r="D147" s="118">
        <v>1.53</v>
      </c>
      <c r="E147" s="12" t="s">
        <v>300</v>
      </c>
      <c r="F147" s="13"/>
      <c r="G147" s="13"/>
      <c r="H147" s="13"/>
      <c r="I147" s="14">
        <v>4</v>
      </c>
      <c r="J147" s="14">
        <v>5</v>
      </c>
      <c r="K147" s="14">
        <v>6</v>
      </c>
      <c r="L147" s="14">
        <v>6</v>
      </c>
      <c r="M147" s="15" t="s">
        <v>146</v>
      </c>
    </row>
    <row r="148" spans="1:13" ht="21">
      <c r="A148" s="4"/>
      <c r="B148" s="269"/>
      <c r="C148" s="6"/>
      <c r="D148" s="6"/>
      <c r="E148" s="6" t="s">
        <v>301</v>
      </c>
      <c r="F148" s="8"/>
      <c r="G148" s="8"/>
      <c r="H148" s="8"/>
      <c r="I148" s="8"/>
      <c r="J148" s="8"/>
      <c r="K148" s="8"/>
      <c r="L148" s="8"/>
      <c r="M148" s="8"/>
    </row>
    <row r="149" spans="1:13" ht="21">
      <c r="A149" s="9" t="s">
        <v>218</v>
      </c>
      <c r="B149" s="268" t="s">
        <v>392</v>
      </c>
      <c r="C149" s="118" t="s">
        <v>299</v>
      </c>
      <c r="D149" s="118">
        <v>1.53</v>
      </c>
      <c r="E149" s="12" t="s">
        <v>300</v>
      </c>
      <c r="F149" s="13"/>
      <c r="G149" s="13"/>
      <c r="H149" s="40">
        <v>4</v>
      </c>
      <c r="I149" s="14">
        <v>5</v>
      </c>
      <c r="J149" s="14">
        <v>5</v>
      </c>
      <c r="K149" s="14">
        <v>5</v>
      </c>
      <c r="L149" s="14">
        <v>5</v>
      </c>
      <c r="M149" s="14">
        <v>5</v>
      </c>
    </row>
    <row r="150" spans="1:13" ht="21">
      <c r="A150" s="4"/>
      <c r="B150" s="269"/>
      <c r="C150" s="6"/>
      <c r="D150" s="6"/>
      <c r="E150" s="6" t="s">
        <v>301</v>
      </c>
      <c r="F150" s="28">
        <v>3</v>
      </c>
      <c r="G150" s="28">
        <v>4</v>
      </c>
      <c r="H150" s="28">
        <v>4</v>
      </c>
      <c r="I150" s="8"/>
      <c r="J150" s="8"/>
      <c r="K150" s="8"/>
      <c r="L150" s="8"/>
      <c r="M150" s="8"/>
    </row>
    <row r="151" spans="1:13" ht="21" customHeight="1">
      <c r="A151" s="9" t="s">
        <v>220</v>
      </c>
      <c r="B151" s="268" t="s">
        <v>393</v>
      </c>
      <c r="C151" s="118" t="s">
        <v>299</v>
      </c>
      <c r="D151" s="118">
        <v>1.53</v>
      </c>
      <c r="E151" s="12" t="s">
        <v>300</v>
      </c>
      <c r="F151" s="13"/>
      <c r="G151" s="13"/>
      <c r="H151" s="13"/>
      <c r="I151" s="14">
        <v>3</v>
      </c>
      <c r="J151" s="14">
        <v>3</v>
      </c>
      <c r="K151" s="14">
        <v>3</v>
      </c>
      <c r="L151" s="14">
        <v>3</v>
      </c>
      <c r="M151" s="15" t="s">
        <v>204</v>
      </c>
    </row>
    <row r="152" spans="1:13" ht="21">
      <c r="A152" s="4"/>
      <c r="B152" s="269"/>
      <c r="C152" s="6"/>
      <c r="D152" s="6"/>
      <c r="E152" s="6" t="s">
        <v>301</v>
      </c>
      <c r="F152" s="8"/>
      <c r="G152" s="8"/>
      <c r="H152" s="8"/>
      <c r="I152" s="8"/>
      <c r="J152" s="8"/>
      <c r="K152" s="8"/>
      <c r="L152" s="8"/>
      <c r="M152" s="8"/>
    </row>
    <row r="153" spans="1:13" ht="21" customHeight="1">
      <c r="A153" s="9" t="s">
        <v>222</v>
      </c>
      <c r="B153" s="268" t="s">
        <v>394</v>
      </c>
      <c r="C153" s="118" t="s">
        <v>303</v>
      </c>
      <c r="D153" s="118">
        <v>1.54</v>
      </c>
      <c r="E153" s="12" t="s">
        <v>300</v>
      </c>
      <c r="F153" s="13"/>
      <c r="G153" s="13"/>
      <c r="H153" s="13"/>
      <c r="I153" s="14">
        <v>1</v>
      </c>
      <c r="J153" s="14">
        <v>1</v>
      </c>
      <c r="K153" s="14">
        <v>1.5</v>
      </c>
      <c r="L153" s="14">
        <v>1.5</v>
      </c>
      <c r="M153" s="15" t="s">
        <v>224</v>
      </c>
    </row>
    <row r="154" spans="1:13" ht="21">
      <c r="A154" s="4"/>
      <c r="B154" s="269"/>
      <c r="C154" s="6"/>
      <c r="D154" s="6"/>
      <c r="E154" s="6" t="s">
        <v>301</v>
      </c>
      <c r="F154" s="8"/>
      <c r="G154" s="8"/>
      <c r="H154" s="8"/>
      <c r="I154" s="8"/>
      <c r="J154" s="8"/>
      <c r="K154" s="8"/>
      <c r="L154" s="8"/>
      <c r="M154" s="8"/>
    </row>
    <row r="155" spans="1:13" ht="21">
      <c r="A155" s="9" t="s">
        <v>225</v>
      </c>
      <c r="B155" s="268" t="s">
        <v>395</v>
      </c>
      <c r="C155" s="118" t="s">
        <v>299</v>
      </c>
      <c r="D155" s="118">
        <v>1.53</v>
      </c>
      <c r="E155" s="12" t="s">
        <v>300</v>
      </c>
      <c r="F155" s="13"/>
      <c r="G155" s="13"/>
      <c r="H155" s="13"/>
      <c r="I155" s="14">
        <v>5</v>
      </c>
      <c r="J155" s="14">
        <v>5</v>
      </c>
      <c r="K155" s="14">
        <v>5</v>
      </c>
      <c r="L155" s="14">
        <v>5</v>
      </c>
      <c r="M155" s="15" t="s">
        <v>38</v>
      </c>
    </row>
    <row r="156" spans="1:13" ht="21">
      <c r="A156" s="4"/>
      <c r="B156" s="269"/>
      <c r="C156" s="6"/>
      <c r="D156" s="6"/>
      <c r="E156" s="6" t="s">
        <v>301</v>
      </c>
      <c r="F156" s="8"/>
      <c r="G156" s="8"/>
      <c r="H156" s="8"/>
      <c r="I156" s="8"/>
      <c r="J156" s="8"/>
      <c r="K156" s="8"/>
      <c r="L156" s="8"/>
      <c r="M156" s="8"/>
    </row>
    <row r="157" spans="1:13" ht="21">
      <c r="A157" s="9" t="s">
        <v>227</v>
      </c>
      <c r="B157" s="268" t="s">
        <v>396</v>
      </c>
      <c r="C157" s="118" t="s">
        <v>299</v>
      </c>
      <c r="D157" s="118">
        <v>1.53</v>
      </c>
      <c r="E157" s="12" t="s">
        <v>300</v>
      </c>
      <c r="F157" s="13"/>
      <c r="G157" s="13"/>
      <c r="H157" s="13"/>
      <c r="I157" s="14">
        <v>8</v>
      </c>
      <c r="J157" s="14">
        <v>8</v>
      </c>
      <c r="K157" s="14">
        <v>8</v>
      </c>
      <c r="L157" s="14">
        <v>8</v>
      </c>
      <c r="M157" s="15" t="s">
        <v>135</v>
      </c>
    </row>
    <row r="158" spans="1:13" ht="21">
      <c r="A158" s="4"/>
      <c r="B158" s="269"/>
      <c r="C158" s="6"/>
      <c r="D158" s="6"/>
      <c r="E158" s="6" t="s">
        <v>301</v>
      </c>
      <c r="F158" s="8"/>
      <c r="G158" s="8"/>
      <c r="H158" s="8"/>
      <c r="I158" s="8"/>
      <c r="J158" s="8"/>
      <c r="K158" s="8"/>
      <c r="L158" s="8"/>
      <c r="M158" s="8"/>
    </row>
    <row r="159" spans="1:13" ht="21" customHeight="1">
      <c r="A159" s="9" t="s">
        <v>229</v>
      </c>
      <c r="B159" s="268" t="s">
        <v>397</v>
      </c>
      <c r="C159" s="118" t="s">
        <v>303</v>
      </c>
      <c r="D159" s="118">
        <v>1.54</v>
      </c>
      <c r="E159" s="12" t="s">
        <v>300</v>
      </c>
      <c r="F159" s="13"/>
      <c r="G159" s="13"/>
      <c r="H159" s="14">
        <v>60</v>
      </c>
      <c r="I159" s="14">
        <v>60</v>
      </c>
      <c r="J159" s="14">
        <v>60</v>
      </c>
      <c r="K159" s="14">
        <v>60</v>
      </c>
      <c r="L159" s="14">
        <v>60</v>
      </c>
      <c r="M159" s="14">
        <v>60</v>
      </c>
    </row>
    <row r="160" spans="1:13" ht="21">
      <c r="A160" s="4"/>
      <c r="B160" s="269"/>
      <c r="C160" s="6"/>
      <c r="D160" s="6"/>
      <c r="E160" s="6" t="s">
        <v>301</v>
      </c>
      <c r="F160" s="49">
        <v>34.66666666666667</v>
      </c>
      <c r="G160" s="49">
        <v>60.66666666666667</v>
      </c>
      <c r="H160" s="30">
        <v>62.5</v>
      </c>
      <c r="I160" s="30"/>
      <c r="J160" s="8"/>
      <c r="K160" s="8"/>
      <c r="L160" s="8"/>
      <c r="M160" s="8"/>
    </row>
    <row r="161" spans="1:13" ht="21" customHeight="1">
      <c r="A161" s="9" t="s">
        <v>231</v>
      </c>
      <c r="B161" s="268" t="s">
        <v>398</v>
      </c>
      <c r="C161" s="118" t="s">
        <v>348</v>
      </c>
      <c r="D161" s="118">
        <v>1.53</v>
      </c>
      <c r="E161" s="12" t="s">
        <v>300</v>
      </c>
      <c r="F161" s="13"/>
      <c r="G161" s="13"/>
      <c r="H161" s="40">
        <v>25000</v>
      </c>
      <c r="I161" s="40">
        <v>26000</v>
      </c>
      <c r="J161" s="40">
        <v>27000</v>
      </c>
      <c r="K161" s="40">
        <v>28000</v>
      </c>
      <c r="L161" s="40">
        <v>28000</v>
      </c>
      <c r="M161" s="40">
        <v>28000</v>
      </c>
    </row>
    <row r="162" spans="1:13" ht="21">
      <c r="A162" s="4"/>
      <c r="B162" s="269"/>
      <c r="C162" s="6"/>
      <c r="D162" s="6"/>
      <c r="E162" s="6" t="s">
        <v>301</v>
      </c>
      <c r="F162" s="31">
        <v>26213.62958333333</v>
      </c>
      <c r="G162" s="31">
        <v>26392.542108433736</v>
      </c>
      <c r="H162" s="31">
        <v>27575.59</v>
      </c>
      <c r="I162" s="31"/>
      <c r="J162" s="8"/>
      <c r="K162" s="8"/>
      <c r="L162" s="8"/>
      <c r="M162" s="8"/>
    </row>
    <row r="163" spans="1:13" ht="21" customHeight="1">
      <c r="A163" s="9" t="s">
        <v>234</v>
      </c>
      <c r="B163" s="268" t="s">
        <v>399</v>
      </c>
      <c r="C163" s="118" t="s">
        <v>303</v>
      </c>
      <c r="D163" s="118">
        <v>1.53</v>
      </c>
      <c r="E163" s="12" t="s">
        <v>300</v>
      </c>
      <c r="F163" s="13"/>
      <c r="G163" s="43"/>
      <c r="H163" s="14">
        <v>100</v>
      </c>
      <c r="I163" s="14">
        <v>100</v>
      </c>
      <c r="J163" s="14">
        <v>100</v>
      </c>
      <c r="K163" s="14">
        <v>100</v>
      </c>
      <c r="L163" s="14">
        <v>100</v>
      </c>
      <c r="M163" s="14">
        <v>100</v>
      </c>
    </row>
    <row r="164" spans="1:13" ht="21">
      <c r="A164" s="4"/>
      <c r="B164" s="269"/>
      <c r="C164" s="6"/>
      <c r="D164" s="6"/>
      <c r="E164" s="6" t="s">
        <v>301</v>
      </c>
      <c r="F164" s="8">
        <v>100</v>
      </c>
      <c r="G164" s="8">
        <v>100</v>
      </c>
      <c r="H164" s="8">
        <v>100</v>
      </c>
      <c r="I164" s="8"/>
      <c r="J164" s="31"/>
      <c r="K164" s="31"/>
      <c r="L164" s="31"/>
      <c r="M164" s="8"/>
    </row>
    <row r="165" spans="1:13" ht="21">
      <c r="A165" s="9" t="s">
        <v>236</v>
      </c>
      <c r="B165" s="268" t="s">
        <v>400</v>
      </c>
      <c r="C165" s="118" t="s">
        <v>299</v>
      </c>
      <c r="D165" s="118">
        <v>1.53</v>
      </c>
      <c r="E165" s="12" t="s">
        <v>300</v>
      </c>
      <c r="F165" s="13"/>
      <c r="G165" s="43"/>
      <c r="H165" s="126">
        <v>3</v>
      </c>
      <c r="I165" s="126">
        <v>3</v>
      </c>
      <c r="J165" s="126">
        <v>3</v>
      </c>
      <c r="K165" s="126">
        <v>3</v>
      </c>
      <c r="L165" s="126">
        <v>3</v>
      </c>
      <c r="M165" s="126">
        <v>3</v>
      </c>
    </row>
    <row r="166" spans="1:13" ht="21">
      <c r="A166" s="4"/>
      <c r="B166" s="269"/>
      <c r="C166" s="6"/>
      <c r="D166" s="6"/>
      <c r="E166" s="6" t="s">
        <v>301</v>
      </c>
      <c r="F166" s="31">
        <v>3</v>
      </c>
      <c r="G166" s="31">
        <v>3</v>
      </c>
      <c r="H166" s="28">
        <v>3</v>
      </c>
      <c r="I166" s="28"/>
      <c r="J166" s="28"/>
      <c r="K166" s="28"/>
      <c r="L166" s="28"/>
      <c r="M166" s="28"/>
    </row>
    <row r="167" spans="1:13" ht="21">
      <c r="A167" s="119" t="s">
        <v>401</v>
      </c>
      <c r="B167" s="268" t="s">
        <v>402</v>
      </c>
      <c r="C167" s="120" t="s">
        <v>403</v>
      </c>
      <c r="D167" s="120"/>
      <c r="E167" s="12" t="s">
        <v>300</v>
      </c>
      <c r="F167" s="13"/>
      <c r="G167" s="13"/>
      <c r="H167" s="13"/>
      <c r="I167" s="13"/>
      <c r="J167" s="13"/>
      <c r="K167" s="13"/>
      <c r="L167" s="13"/>
      <c r="M167" s="13"/>
    </row>
    <row r="168" spans="1:13" ht="21">
      <c r="A168" s="18"/>
      <c r="B168" s="278"/>
      <c r="C168" s="20"/>
      <c r="D168" s="20"/>
      <c r="E168" s="20" t="s">
        <v>301</v>
      </c>
      <c r="F168" s="47">
        <v>3</v>
      </c>
      <c r="G168" s="47" t="s">
        <v>21</v>
      </c>
      <c r="H168" s="47">
        <v>7</v>
      </c>
      <c r="I168" s="22"/>
      <c r="J168" s="22"/>
      <c r="K168" s="22"/>
      <c r="L168" s="22"/>
      <c r="M168" s="22"/>
    </row>
    <row r="169" spans="1:13" ht="21">
      <c r="A169" s="115" t="s">
        <v>238</v>
      </c>
      <c r="B169" s="116"/>
      <c r="C169" s="117"/>
      <c r="D169" s="117">
        <v>20</v>
      </c>
      <c r="E169" s="117"/>
      <c r="F169" s="117"/>
      <c r="G169" s="117"/>
      <c r="H169" s="117"/>
      <c r="I169" s="117"/>
      <c r="J169" s="117"/>
      <c r="K169" s="117"/>
      <c r="L169" s="117"/>
      <c r="M169" s="117"/>
    </row>
    <row r="170" spans="1:13" ht="21" customHeight="1">
      <c r="A170" s="9" t="s">
        <v>239</v>
      </c>
      <c r="B170" s="270" t="s">
        <v>404</v>
      </c>
      <c r="C170" s="118" t="s">
        <v>299</v>
      </c>
      <c r="D170" s="118">
        <v>3.33</v>
      </c>
      <c r="E170" s="6" t="s">
        <v>300</v>
      </c>
      <c r="F170" s="7"/>
      <c r="G170" s="7"/>
      <c r="H170" s="7"/>
      <c r="I170" s="8">
        <v>7</v>
      </c>
      <c r="J170" s="8">
        <v>7</v>
      </c>
      <c r="K170" s="8">
        <v>7</v>
      </c>
      <c r="L170" s="8">
        <v>7</v>
      </c>
      <c r="M170" s="24" t="s">
        <v>34</v>
      </c>
    </row>
    <row r="171" spans="1:13" ht="21">
      <c r="A171" s="4"/>
      <c r="B171" s="269"/>
      <c r="C171" s="6"/>
      <c r="D171" s="6"/>
      <c r="E171" s="6" t="s">
        <v>301</v>
      </c>
      <c r="F171" s="8"/>
      <c r="G171" s="8"/>
      <c r="H171" s="8"/>
      <c r="I171" s="8"/>
      <c r="J171" s="8"/>
      <c r="K171" s="8"/>
      <c r="L171" s="8"/>
      <c r="M171" s="8"/>
    </row>
    <row r="172" spans="1:13" ht="21">
      <c r="A172" s="9" t="s">
        <v>241</v>
      </c>
      <c r="B172" s="268" t="s">
        <v>405</v>
      </c>
      <c r="C172" s="118" t="s">
        <v>299</v>
      </c>
      <c r="D172" s="118">
        <v>3.34</v>
      </c>
      <c r="E172" s="12" t="s">
        <v>300</v>
      </c>
      <c r="F172" s="13"/>
      <c r="G172" s="13"/>
      <c r="H172" s="40">
        <v>4</v>
      </c>
      <c r="I172" s="40">
        <v>4</v>
      </c>
      <c r="J172" s="40">
        <v>4</v>
      </c>
      <c r="K172" s="40">
        <v>4</v>
      </c>
      <c r="L172" s="40">
        <v>4</v>
      </c>
      <c r="M172" s="40">
        <v>4</v>
      </c>
    </row>
    <row r="173" spans="1:13" ht="21">
      <c r="A173" s="4"/>
      <c r="B173" s="269"/>
      <c r="C173" s="6"/>
      <c r="D173" s="6"/>
      <c r="E173" s="6" t="s">
        <v>301</v>
      </c>
      <c r="F173" s="28">
        <v>3</v>
      </c>
      <c r="G173" s="28">
        <v>4</v>
      </c>
      <c r="H173" s="28">
        <v>4</v>
      </c>
      <c r="I173" s="31"/>
      <c r="J173" s="127"/>
      <c r="K173" s="127"/>
      <c r="L173" s="8"/>
      <c r="M173" s="8"/>
    </row>
    <row r="174" spans="1:13" ht="21">
      <c r="A174" s="9" t="s">
        <v>243</v>
      </c>
      <c r="B174" s="268" t="s">
        <v>406</v>
      </c>
      <c r="C174" s="118" t="s">
        <v>348</v>
      </c>
      <c r="D174" s="118">
        <v>3.34</v>
      </c>
      <c r="E174" s="12" t="s">
        <v>300</v>
      </c>
      <c r="F174" s="13"/>
      <c r="G174" s="13"/>
      <c r="H174" s="40">
        <v>200000</v>
      </c>
      <c r="I174" s="40">
        <v>200000</v>
      </c>
      <c r="J174" s="40">
        <v>200000</v>
      </c>
      <c r="K174" s="40">
        <v>200000</v>
      </c>
      <c r="L174" s="40">
        <v>200000</v>
      </c>
      <c r="M174" s="40">
        <v>200000</v>
      </c>
    </row>
    <row r="175" spans="1:13" ht="21">
      <c r="A175" s="4"/>
      <c r="B175" s="269"/>
      <c r="C175" s="6"/>
      <c r="D175" s="6"/>
      <c r="E175" s="6" t="s">
        <v>301</v>
      </c>
      <c r="F175" s="31">
        <v>284891.10710542864</v>
      </c>
      <c r="G175" s="31">
        <v>245756.43041420614</v>
      </c>
      <c r="H175" s="31">
        <v>232722.95</v>
      </c>
      <c r="I175" s="49"/>
      <c r="J175" s="8"/>
      <c r="K175" s="8"/>
      <c r="L175" s="8"/>
      <c r="M175" s="8"/>
    </row>
    <row r="176" spans="1:13" ht="21">
      <c r="A176" s="9" t="s">
        <v>245</v>
      </c>
      <c r="B176" s="268" t="s">
        <v>407</v>
      </c>
      <c r="C176" s="118" t="s">
        <v>303</v>
      </c>
      <c r="D176" s="118">
        <v>3.33</v>
      </c>
      <c r="E176" s="12" t="s">
        <v>300</v>
      </c>
      <c r="F176" s="13"/>
      <c r="G176" s="13"/>
      <c r="H176" s="132">
        <v>53.601092274433945</v>
      </c>
      <c r="I176" s="39">
        <v>20</v>
      </c>
      <c r="J176" s="39">
        <v>18</v>
      </c>
      <c r="K176" s="39">
        <v>15.5</v>
      </c>
      <c r="L176" s="39">
        <v>14</v>
      </c>
      <c r="M176" s="39">
        <v>12.5</v>
      </c>
    </row>
    <row r="177" spans="1:13" ht="21">
      <c r="A177" s="4"/>
      <c r="B177" s="269"/>
      <c r="C177" s="6"/>
      <c r="D177" s="6"/>
      <c r="E177" s="6" t="s">
        <v>301</v>
      </c>
      <c r="F177" s="49">
        <v>19.32141362240078</v>
      </c>
      <c r="G177" s="49">
        <v>27.536636757389292</v>
      </c>
      <c r="H177" s="49">
        <v>16.577160979807864</v>
      </c>
      <c r="I177" s="30"/>
      <c r="J177" s="8"/>
      <c r="K177" s="8"/>
      <c r="L177" s="8"/>
      <c r="M177" s="8"/>
    </row>
    <row r="178" spans="1:13" ht="21">
      <c r="A178" s="9" t="s">
        <v>247</v>
      </c>
      <c r="B178" s="268" t="s">
        <v>408</v>
      </c>
      <c r="C178" s="118" t="s">
        <v>303</v>
      </c>
      <c r="D178" s="118">
        <v>3.33</v>
      </c>
      <c r="E178" s="12" t="s">
        <v>300</v>
      </c>
      <c r="F178" s="13"/>
      <c r="G178" s="13"/>
      <c r="H178" s="132">
        <v>8.5</v>
      </c>
      <c r="I178" s="14">
        <v>5</v>
      </c>
      <c r="J178" s="14">
        <v>5</v>
      </c>
      <c r="K178" s="14">
        <v>5</v>
      </c>
      <c r="L178" s="14">
        <v>5</v>
      </c>
      <c r="M178" s="14">
        <v>5</v>
      </c>
    </row>
    <row r="179" spans="1:13" ht="21">
      <c r="A179" s="4"/>
      <c r="B179" s="269"/>
      <c r="C179" s="6"/>
      <c r="D179" s="6"/>
      <c r="E179" s="6" t="s">
        <v>301</v>
      </c>
      <c r="F179" s="49">
        <v>5.930606372476531</v>
      </c>
      <c r="G179" s="49">
        <v>8.209166317495148</v>
      </c>
      <c r="H179" s="49">
        <v>13.52100368723983</v>
      </c>
      <c r="I179" s="8"/>
      <c r="J179" s="8"/>
      <c r="K179" s="8"/>
      <c r="L179" s="8"/>
      <c r="M179" s="8"/>
    </row>
    <row r="180" spans="1:13" ht="21" customHeight="1">
      <c r="A180" s="119" t="s">
        <v>249</v>
      </c>
      <c r="B180" s="268" t="s">
        <v>409</v>
      </c>
      <c r="C180" s="120" t="s">
        <v>348</v>
      </c>
      <c r="D180" s="120">
        <v>3.33</v>
      </c>
      <c r="E180" s="12" t="s">
        <v>300</v>
      </c>
      <c r="F180" s="13"/>
      <c r="G180" s="13"/>
      <c r="H180" s="40">
        <v>3000</v>
      </c>
      <c r="I180" s="40">
        <v>7000</v>
      </c>
      <c r="J180" s="40">
        <v>7000</v>
      </c>
      <c r="K180" s="40">
        <v>7000</v>
      </c>
      <c r="L180" s="40">
        <v>7500</v>
      </c>
      <c r="M180" s="40">
        <v>7500</v>
      </c>
    </row>
    <row r="181" spans="1:13" ht="21">
      <c r="A181" s="18"/>
      <c r="B181" s="278"/>
      <c r="C181" s="20"/>
      <c r="D181" s="20"/>
      <c r="E181" s="20" t="s">
        <v>301</v>
      </c>
      <c r="F181" s="135">
        <v>6167.366785122235</v>
      </c>
      <c r="G181" s="135">
        <v>16924.63036394857</v>
      </c>
      <c r="H181" s="135">
        <v>7152.229767117519</v>
      </c>
      <c r="I181" s="135"/>
      <c r="J181" s="22"/>
      <c r="K181" s="22"/>
      <c r="L181" s="22"/>
      <c r="M181" s="22"/>
    </row>
    <row r="182" spans="1:13" ht="21">
      <c r="A182" s="115" t="s">
        <v>251</v>
      </c>
      <c r="B182" s="116"/>
      <c r="C182" s="117"/>
      <c r="D182" s="117">
        <v>20</v>
      </c>
      <c r="E182" s="117"/>
      <c r="F182" s="117"/>
      <c r="G182" s="117"/>
      <c r="H182" s="117"/>
      <c r="I182" s="117"/>
      <c r="J182" s="117"/>
      <c r="K182" s="117"/>
      <c r="L182" s="117"/>
      <c r="M182" s="117"/>
    </row>
    <row r="183" spans="1:13" ht="21">
      <c r="A183" s="9" t="s">
        <v>252</v>
      </c>
      <c r="B183" s="270" t="s">
        <v>410</v>
      </c>
      <c r="C183" s="118" t="s">
        <v>299</v>
      </c>
      <c r="D183" s="118">
        <v>5</v>
      </c>
      <c r="E183" s="6" t="s">
        <v>300</v>
      </c>
      <c r="F183" s="7"/>
      <c r="G183" s="7"/>
      <c r="H183" s="7"/>
      <c r="I183" s="8">
        <v>5</v>
      </c>
      <c r="J183" s="8">
        <v>5</v>
      </c>
      <c r="K183" s="8">
        <v>5</v>
      </c>
      <c r="L183" s="8">
        <v>5</v>
      </c>
      <c r="M183" s="8">
        <v>5</v>
      </c>
    </row>
    <row r="184" spans="1:13" ht="21">
      <c r="A184" s="4"/>
      <c r="B184" s="269"/>
      <c r="C184" s="6"/>
      <c r="D184" s="6"/>
      <c r="E184" s="6" t="s">
        <v>301</v>
      </c>
      <c r="F184" s="28"/>
      <c r="G184" s="8">
        <v>5</v>
      </c>
      <c r="H184" s="8">
        <v>5</v>
      </c>
      <c r="I184" s="8"/>
      <c r="J184" s="8"/>
      <c r="K184" s="8"/>
      <c r="L184" s="8"/>
      <c r="M184" s="8"/>
    </row>
    <row r="185" spans="1:13" ht="21">
      <c r="A185" s="9" t="s">
        <v>254</v>
      </c>
      <c r="B185" s="268" t="s">
        <v>411</v>
      </c>
      <c r="C185" s="118" t="s">
        <v>299</v>
      </c>
      <c r="D185" s="118">
        <v>5</v>
      </c>
      <c r="E185" s="12" t="s">
        <v>300</v>
      </c>
      <c r="F185" s="13"/>
      <c r="G185" s="13"/>
      <c r="H185" s="13"/>
      <c r="I185" s="14">
        <v>3</v>
      </c>
      <c r="J185" s="14">
        <v>4</v>
      </c>
      <c r="K185" s="14">
        <v>4</v>
      </c>
      <c r="L185" s="14">
        <v>4</v>
      </c>
      <c r="M185" s="15" t="s">
        <v>146</v>
      </c>
    </row>
    <row r="186" spans="1:13" ht="21">
      <c r="A186" s="4"/>
      <c r="B186" s="269"/>
      <c r="C186" s="6"/>
      <c r="D186" s="6"/>
      <c r="E186" s="6" t="s">
        <v>301</v>
      </c>
      <c r="F186" s="8"/>
      <c r="G186" s="8"/>
      <c r="H186" s="8"/>
      <c r="I186" s="8"/>
      <c r="J186" s="8"/>
      <c r="K186" s="8"/>
      <c r="L186" s="8"/>
      <c r="M186" s="8"/>
    </row>
    <row r="187" spans="1:13" ht="21">
      <c r="A187" s="9" t="s">
        <v>256</v>
      </c>
      <c r="B187" s="268" t="s">
        <v>412</v>
      </c>
      <c r="C187" s="118" t="s">
        <v>299</v>
      </c>
      <c r="D187" s="118">
        <v>5</v>
      </c>
      <c r="E187" s="12" t="s">
        <v>300</v>
      </c>
      <c r="F187" s="13"/>
      <c r="G187" s="43"/>
      <c r="H187" s="40">
        <v>5</v>
      </c>
      <c r="I187" s="14">
        <v>5</v>
      </c>
      <c r="J187" s="14">
        <v>5</v>
      </c>
      <c r="K187" s="14">
        <v>5</v>
      </c>
      <c r="L187" s="14">
        <v>5</v>
      </c>
      <c r="M187" s="14">
        <v>5</v>
      </c>
    </row>
    <row r="188" spans="1:13" ht="21">
      <c r="A188" s="4"/>
      <c r="B188" s="269"/>
      <c r="C188" s="6"/>
      <c r="D188" s="6"/>
      <c r="E188" s="6" t="s">
        <v>301</v>
      </c>
      <c r="F188" s="31">
        <v>5</v>
      </c>
      <c r="G188" s="31">
        <v>5</v>
      </c>
      <c r="H188" s="28">
        <v>5</v>
      </c>
      <c r="I188" s="8"/>
      <c r="J188" s="31"/>
      <c r="K188" s="31"/>
      <c r="L188" s="31"/>
      <c r="M188" s="8"/>
    </row>
    <row r="189" spans="1:13" ht="21">
      <c r="A189" s="9" t="s">
        <v>258</v>
      </c>
      <c r="B189" s="268" t="s">
        <v>413</v>
      </c>
      <c r="C189" s="118" t="s">
        <v>299</v>
      </c>
      <c r="D189" s="118">
        <v>5</v>
      </c>
      <c r="E189" s="12" t="s">
        <v>300</v>
      </c>
      <c r="F189" s="13"/>
      <c r="G189" s="13"/>
      <c r="H189" s="13"/>
      <c r="I189" s="14">
        <v>2</v>
      </c>
      <c r="J189" s="14">
        <v>3</v>
      </c>
      <c r="K189" s="14">
        <v>3</v>
      </c>
      <c r="L189" s="14">
        <v>4</v>
      </c>
      <c r="M189" s="15" t="s">
        <v>38</v>
      </c>
    </row>
    <row r="190" spans="1:13" ht="21">
      <c r="A190" s="4"/>
      <c r="B190" s="269"/>
      <c r="C190" s="6"/>
      <c r="D190" s="6"/>
      <c r="E190" s="6" t="s">
        <v>301</v>
      </c>
      <c r="F190" s="8"/>
      <c r="G190" s="8"/>
      <c r="H190" s="8"/>
      <c r="I190" s="8"/>
      <c r="J190" s="8"/>
      <c r="K190" s="8"/>
      <c r="L190" s="8"/>
      <c r="M190" s="8"/>
    </row>
    <row r="191" spans="1:13" ht="21">
      <c r="A191" s="119" t="s">
        <v>414</v>
      </c>
      <c r="B191" s="268" t="s">
        <v>415</v>
      </c>
      <c r="C191" s="120" t="s">
        <v>299</v>
      </c>
      <c r="D191" s="120"/>
      <c r="E191" s="12" t="s">
        <v>300</v>
      </c>
      <c r="F191" s="130"/>
      <c r="G191" s="130"/>
      <c r="H191" s="130"/>
      <c r="I191" s="130"/>
      <c r="J191" s="130"/>
      <c r="K191" s="130"/>
      <c r="L191" s="130"/>
      <c r="M191" s="130"/>
    </row>
    <row r="192" spans="1:13" ht="21">
      <c r="A192" s="18"/>
      <c r="B192" s="278"/>
      <c r="C192" s="20"/>
      <c r="D192" s="20"/>
      <c r="E192" s="20" t="s">
        <v>301</v>
      </c>
      <c r="F192" s="131"/>
      <c r="G192" s="131"/>
      <c r="H192" s="131"/>
      <c r="I192" s="131"/>
      <c r="J192" s="131"/>
      <c r="K192" s="131"/>
      <c r="L192" s="131"/>
      <c r="M192" s="131"/>
    </row>
    <row r="193" spans="1:13" ht="21">
      <c r="A193" s="115" t="s">
        <v>260</v>
      </c>
      <c r="B193" s="116"/>
      <c r="C193" s="117"/>
      <c r="D193" s="117">
        <v>10</v>
      </c>
      <c r="E193" s="117"/>
      <c r="F193" s="117"/>
      <c r="G193" s="117"/>
      <c r="H193" s="117"/>
      <c r="I193" s="117"/>
      <c r="J193" s="117"/>
      <c r="K193" s="117"/>
      <c r="L193" s="117"/>
      <c r="M193" s="117"/>
    </row>
    <row r="194" spans="1:13" ht="21" customHeight="1">
      <c r="A194" s="9" t="s">
        <v>261</v>
      </c>
      <c r="B194" s="270" t="s">
        <v>416</v>
      </c>
      <c r="C194" s="118" t="s">
        <v>303</v>
      </c>
      <c r="D194" s="118">
        <v>5</v>
      </c>
      <c r="E194" s="6" t="s">
        <v>300</v>
      </c>
      <c r="F194" s="7"/>
      <c r="G194" s="7"/>
      <c r="H194" s="8">
        <v>30</v>
      </c>
      <c r="I194" s="30">
        <v>30</v>
      </c>
      <c r="J194" s="30">
        <v>30</v>
      </c>
      <c r="K194" s="30">
        <v>30</v>
      </c>
      <c r="L194" s="30">
        <v>30</v>
      </c>
      <c r="M194" s="30">
        <v>30</v>
      </c>
    </row>
    <row r="195" spans="1:13" ht="21">
      <c r="A195" s="4"/>
      <c r="B195" s="269"/>
      <c r="C195" s="6"/>
      <c r="D195" s="6"/>
      <c r="E195" s="6" t="s">
        <v>301</v>
      </c>
      <c r="F195" s="30">
        <v>44.31654676258992</v>
      </c>
      <c r="G195" s="30">
        <v>47.13930348258707</v>
      </c>
      <c r="H195" s="30">
        <v>31.911966987620353</v>
      </c>
      <c r="I195" s="30"/>
      <c r="J195" s="8"/>
      <c r="K195" s="8"/>
      <c r="L195" s="8"/>
      <c r="M195" s="8"/>
    </row>
    <row r="196" spans="1:13" ht="21" customHeight="1">
      <c r="A196" s="119" t="s">
        <v>263</v>
      </c>
      <c r="B196" s="268" t="s">
        <v>417</v>
      </c>
      <c r="C196" s="120" t="s">
        <v>418</v>
      </c>
      <c r="D196" s="120">
        <v>5</v>
      </c>
      <c r="E196" s="12" t="s">
        <v>300</v>
      </c>
      <c r="F196" s="13"/>
      <c r="G196" s="13"/>
      <c r="H196" s="126">
        <v>20</v>
      </c>
      <c r="I196" s="231" t="s">
        <v>112</v>
      </c>
      <c r="J196" s="231" t="s">
        <v>112</v>
      </c>
      <c r="K196" s="231" t="s">
        <v>112</v>
      </c>
      <c r="L196" s="231" t="s">
        <v>112</v>
      </c>
      <c r="M196" s="231" t="s">
        <v>112</v>
      </c>
    </row>
    <row r="197" spans="1:13" ht="21">
      <c r="A197" s="18"/>
      <c r="B197" s="278"/>
      <c r="C197" s="20"/>
      <c r="D197" s="20"/>
      <c r="E197" s="20" t="s">
        <v>301</v>
      </c>
      <c r="F197" s="121">
        <v>74</v>
      </c>
      <c r="G197" s="121">
        <v>116</v>
      </c>
      <c r="H197" s="121">
        <v>82</v>
      </c>
      <c r="I197" s="22"/>
      <c r="J197" s="22"/>
      <c r="K197" s="22"/>
      <c r="L197" s="22"/>
      <c r="M197" s="22"/>
    </row>
    <row r="198" spans="1:13" ht="21">
      <c r="A198" s="115" t="s">
        <v>265</v>
      </c>
      <c r="B198" s="116"/>
      <c r="C198" s="117"/>
      <c r="D198" s="117">
        <v>10</v>
      </c>
      <c r="E198" s="117"/>
      <c r="F198" s="117"/>
      <c r="G198" s="117"/>
      <c r="H198" s="117"/>
      <c r="I198" s="117"/>
      <c r="J198" s="117"/>
      <c r="K198" s="117"/>
      <c r="L198" s="117"/>
      <c r="M198" s="117"/>
    </row>
    <row r="199" spans="1:13" ht="21">
      <c r="A199" s="9" t="s">
        <v>419</v>
      </c>
      <c r="B199" s="270" t="s">
        <v>420</v>
      </c>
      <c r="C199" s="118" t="s">
        <v>303</v>
      </c>
      <c r="D199" s="118"/>
      <c r="E199" s="6" t="s">
        <v>300</v>
      </c>
      <c r="F199" s="7"/>
      <c r="G199" s="7"/>
      <c r="H199" s="7"/>
      <c r="I199" s="7"/>
      <c r="J199" s="7"/>
      <c r="K199" s="7"/>
      <c r="L199" s="7"/>
      <c r="M199" s="7"/>
    </row>
    <row r="200" spans="1:13" ht="21">
      <c r="A200" s="4"/>
      <c r="B200" s="269"/>
      <c r="C200" s="6"/>
      <c r="D200" s="6"/>
      <c r="E200" s="6" t="s">
        <v>301</v>
      </c>
      <c r="F200" s="30"/>
      <c r="G200" s="30"/>
      <c r="H200" s="30"/>
      <c r="I200" s="8"/>
      <c r="J200" s="8"/>
      <c r="K200" s="8"/>
      <c r="L200" s="8"/>
      <c r="M200" s="8"/>
    </row>
    <row r="201" spans="1:13" ht="21">
      <c r="A201" s="9" t="s">
        <v>421</v>
      </c>
      <c r="B201" s="268" t="s">
        <v>422</v>
      </c>
      <c r="C201" s="118" t="s">
        <v>423</v>
      </c>
      <c r="D201" s="118"/>
      <c r="E201" s="12" t="s">
        <v>300</v>
      </c>
      <c r="F201" s="13"/>
      <c r="G201" s="13"/>
      <c r="H201" s="42"/>
      <c r="I201" s="13"/>
      <c r="J201" s="13"/>
      <c r="K201" s="13"/>
      <c r="L201" s="13"/>
      <c r="M201" s="13"/>
    </row>
    <row r="202" spans="1:13" ht="21">
      <c r="A202" s="4"/>
      <c r="B202" s="269"/>
      <c r="C202" s="6"/>
      <c r="D202" s="6"/>
      <c r="E202" s="6" t="s">
        <v>301</v>
      </c>
      <c r="F202" s="49"/>
      <c r="G202" s="8"/>
      <c r="H202" s="8"/>
      <c r="I202" s="8"/>
      <c r="J202" s="8"/>
      <c r="K202" s="8"/>
      <c r="L202" s="8"/>
      <c r="M202" s="8"/>
    </row>
    <row r="203" spans="1:13" ht="21">
      <c r="A203" s="9" t="s">
        <v>424</v>
      </c>
      <c r="B203" s="268" t="s">
        <v>425</v>
      </c>
      <c r="C203" s="118" t="s">
        <v>423</v>
      </c>
      <c r="D203" s="118"/>
      <c r="E203" s="12" t="s">
        <v>300</v>
      </c>
      <c r="F203" s="13"/>
      <c r="G203" s="43"/>
      <c r="H203" s="42"/>
      <c r="I203" s="42"/>
      <c r="J203" s="42"/>
      <c r="K203" s="43"/>
      <c r="L203" s="43"/>
      <c r="M203" s="43"/>
    </row>
    <row r="204" spans="1:13" ht="21">
      <c r="A204" s="4"/>
      <c r="B204" s="269"/>
      <c r="C204" s="6"/>
      <c r="D204" s="6"/>
      <c r="E204" s="6" t="s">
        <v>301</v>
      </c>
      <c r="F204" s="49"/>
      <c r="G204" s="8"/>
      <c r="H204" s="8"/>
      <c r="I204" s="49"/>
      <c r="J204" s="31"/>
      <c r="K204" s="31"/>
      <c r="L204" s="31"/>
      <c r="M204" s="8"/>
    </row>
    <row r="205" spans="1:13" ht="21">
      <c r="A205" s="9" t="s">
        <v>426</v>
      </c>
      <c r="B205" s="268" t="s">
        <v>427</v>
      </c>
      <c r="C205" s="118" t="s">
        <v>423</v>
      </c>
      <c r="D205" s="118"/>
      <c r="E205" s="12" t="s">
        <v>300</v>
      </c>
      <c r="F205" s="42"/>
      <c r="G205" s="42"/>
      <c r="H205" s="42"/>
      <c r="I205" s="13"/>
      <c r="J205" s="13"/>
      <c r="K205" s="13"/>
      <c r="L205" s="13"/>
      <c r="M205" s="13"/>
    </row>
    <row r="206" spans="1:13" ht="21">
      <c r="A206" s="4"/>
      <c r="B206" s="269"/>
      <c r="C206" s="6"/>
      <c r="D206" s="6"/>
      <c r="E206" s="6" t="s">
        <v>301</v>
      </c>
      <c r="F206" s="28"/>
      <c r="G206" s="28"/>
      <c r="H206" s="28"/>
      <c r="I206" s="8"/>
      <c r="J206" s="49"/>
      <c r="K206" s="49"/>
      <c r="L206" s="49"/>
      <c r="M206" s="8"/>
    </row>
    <row r="207" spans="1:13" ht="21">
      <c r="A207" s="9" t="s">
        <v>428</v>
      </c>
      <c r="B207" s="268" t="s">
        <v>429</v>
      </c>
      <c r="C207" s="118" t="s">
        <v>337</v>
      </c>
      <c r="D207" s="118"/>
      <c r="E207" s="12" t="s">
        <v>300</v>
      </c>
      <c r="F207" s="13"/>
      <c r="G207" s="13"/>
      <c r="H207" s="43"/>
      <c r="I207" s="13"/>
      <c r="J207" s="13"/>
      <c r="K207" s="13"/>
      <c r="L207" s="13"/>
      <c r="M207" s="13"/>
    </row>
    <row r="208" spans="1:13" ht="21">
      <c r="A208" s="4"/>
      <c r="B208" s="269"/>
      <c r="C208" s="6"/>
      <c r="D208" s="6"/>
      <c r="E208" s="6" t="s">
        <v>301</v>
      </c>
      <c r="F208" s="28"/>
      <c r="G208" s="28"/>
      <c r="H208" s="28"/>
      <c r="I208" s="8"/>
      <c r="J208" s="8"/>
      <c r="K208" s="8"/>
      <c r="L208" s="8"/>
      <c r="M208" s="8"/>
    </row>
    <row r="209" spans="1:13" ht="21">
      <c r="A209" s="9" t="s">
        <v>430</v>
      </c>
      <c r="B209" s="268" t="s">
        <v>431</v>
      </c>
      <c r="C209" s="118" t="s">
        <v>337</v>
      </c>
      <c r="D209" s="118"/>
      <c r="E209" s="12" t="s">
        <v>300</v>
      </c>
      <c r="F209" s="13"/>
      <c r="G209" s="13"/>
      <c r="H209" s="13"/>
      <c r="I209" s="13"/>
      <c r="J209" s="13"/>
      <c r="K209" s="13"/>
      <c r="L209" s="13"/>
      <c r="M209" s="136"/>
    </row>
    <row r="210" spans="1:13" ht="21">
      <c r="A210" s="4"/>
      <c r="B210" s="269"/>
      <c r="C210" s="6"/>
      <c r="D210" s="6"/>
      <c r="E210" s="6" t="s">
        <v>301</v>
      </c>
      <c r="F210" s="28"/>
      <c r="G210" s="28"/>
      <c r="H210" s="28"/>
      <c r="I210" s="8"/>
      <c r="J210" s="8"/>
      <c r="K210" s="8"/>
      <c r="L210" s="8"/>
      <c r="M210" s="8"/>
    </row>
    <row r="211" spans="1:13" ht="21">
      <c r="A211" s="9" t="s">
        <v>432</v>
      </c>
      <c r="B211" s="268" t="s">
        <v>433</v>
      </c>
      <c r="C211" s="118" t="s">
        <v>337</v>
      </c>
      <c r="D211" s="118"/>
      <c r="E211" s="12" t="s">
        <v>300</v>
      </c>
      <c r="F211" s="13"/>
      <c r="G211" s="13"/>
      <c r="H211" s="43"/>
      <c r="I211" s="13"/>
      <c r="J211" s="13"/>
      <c r="K211" s="13"/>
      <c r="L211" s="13"/>
      <c r="M211" s="13"/>
    </row>
    <row r="212" spans="1:13" ht="21">
      <c r="A212" s="4"/>
      <c r="B212" s="269"/>
      <c r="C212" s="6"/>
      <c r="D212" s="6"/>
      <c r="E212" s="6" t="s">
        <v>301</v>
      </c>
      <c r="F212" s="28"/>
      <c r="G212" s="28"/>
      <c r="H212" s="28"/>
      <c r="I212" s="8"/>
      <c r="J212" s="8"/>
      <c r="K212" s="8"/>
      <c r="L212" s="8"/>
      <c r="M212" s="8"/>
    </row>
    <row r="213" spans="1:13" ht="21">
      <c r="A213" s="9" t="s">
        <v>434</v>
      </c>
      <c r="B213" s="268" t="s">
        <v>435</v>
      </c>
      <c r="C213" s="118" t="s">
        <v>436</v>
      </c>
      <c r="D213" s="118"/>
      <c r="E213" s="12" t="s">
        <v>300</v>
      </c>
      <c r="F213" s="13"/>
      <c r="G213" s="13"/>
      <c r="H213" s="43"/>
      <c r="I213" s="13"/>
      <c r="J213" s="13"/>
      <c r="K213" s="13"/>
      <c r="L213" s="13"/>
      <c r="M213" s="13"/>
    </row>
    <row r="214" spans="1:13" ht="21">
      <c r="A214" s="4"/>
      <c r="B214" s="269"/>
      <c r="C214" s="6"/>
      <c r="D214" s="6"/>
      <c r="E214" s="6" t="s">
        <v>301</v>
      </c>
      <c r="F214" s="28"/>
      <c r="G214" s="28"/>
      <c r="H214" s="28"/>
      <c r="I214" s="8"/>
      <c r="J214" s="8"/>
      <c r="K214" s="8"/>
      <c r="L214" s="8"/>
      <c r="M214" s="8"/>
    </row>
    <row r="215" spans="1:13" ht="21">
      <c r="A215" s="9" t="s">
        <v>437</v>
      </c>
      <c r="B215" s="268" t="s">
        <v>438</v>
      </c>
      <c r="C215" s="118" t="s">
        <v>436</v>
      </c>
      <c r="D215" s="118"/>
      <c r="E215" s="12" t="s">
        <v>300</v>
      </c>
      <c r="F215" s="13"/>
      <c r="G215" s="13"/>
      <c r="H215" s="42"/>
      <c r="I215" s="43"/>
      <c r="J215" s="43"/>
      <c r="K215" s="43"/>
      <c r="L215" s="43"/>
      <c r="M215" s="43"/>
    </row>
    <row r="216" spans="1:13" ht="21">
      <c r="A216" s="4"/>
      <c r="B216" s="269"/>
      <c r="C216" s="6"/>
      <c r="D216" s="6"/>
      <c r="E216" s="6" t="s">
        <v>301</v>
      </c>
      <c r="F216" s="28"/>
      <c r="G216" s="28"/>
      <c r="H216" s="28"/>
      <c r="I216" s="8"/>
      <c r="J216" s="8"/>
      <c r="K216" s="8"/>
      <c r="L216" s="8"/>
      <c r="M216" s="8"/>
    </row>
    <row r="217" spans="1:13" ht="21">
      <c r="A217" s="9" t="s">
        <v>439</v>
      </c>
      <c r="B217" s="268" t="s">
        <v>440</v>
      </c>
      <c r="C217" s="118" t="s">
        <v>418</v>
      </c>
      <c r="D217" s="118"/>
      <c r="E217" s="12" t="s">
        <v>300</v>
      </c>
      <c r="F217" s="13"/>
      <c r="G217" s="125"/>
      <c r="H217" s="42"/>
      <c r="I217" s="13"/>
      <c r="J217" s="13"/>
      <c r="K217" s="13"/>
      <c r="L217" s="13"/>
      <c r="M217" s="13"/>
    </row>
    <row r="218" spans="1:13" ht="21">
      <c r="A218" s="4"/>
      <c r="B218" s="269"/>
      <c r="C218" s="6"/>
      <c r="D218" s="6"/>
      <c r="E218" s="6" t="s">
        <v>301</v>
      </c>
      <c r="F218" s="28"/>
      <c r="G218" s="28"/>
      <c r="H218" s="28"/>
      <c r="I218" s="8"/>
      <c r="J218" s="30"/>
      <c r="K218" s="30"/>
      <c r="L218" s="30"/>
      <c r="M218" s="8"/>
    </row>
    <row r="219" spans="1:13" ht="21">
      <c r="A219" s="9" t="s">
        <v>266</v>
      </c>
      <c r="B219" s="268" t="s">
        <v>441</v>
      </c>
      <c r="C219" s="118" t="s">
        <v>418</v>
      </c>
      <c r="D219" s="118">
        <v>10</v>
      </c>
      <c r="E219" s="12" t="s">
        <v>300</v>
      </c>
      <c r="F219" s="13"/>
      <c r="G219" s="125"/>
      <c r="H219" s="14">
        <v>5</v>
      </c>
      <c r="I219" s="14">
        <v>5</v>
      </c>
      <c r="J219" s="14">
        <v>5</v>
      </c>
      <c r="K219" s="14">
        <v>5</v>
      </c>
      <c r="L219" s="14">
        <v>5</v>
      </c>
      <c r="M219" s="14">
        <v>5</v>
      </c>
    </row>
    <row r="220" spans="1:13" ht="21">
      <c r="A220" s="4"/>
      <c r="B220" s="269"/>
      <c r="C220" s="6"/>
      <c r="D220" s="6"/>
      <c r="E220" s="6" t="s">
        <v>301</v>
      </c>
      <c r="F220" s="28" t="s">
        <v>21</v>
      </c>
      <c r="G220" s="28">
        <v>11</v>
      </c>
      <c r="H220" s="28">
        <v>12</v>
      </c>
      <c r="I220" s="8"/>
      <c r="J220" s="30"/>
      <c r="K220" s="30"/>
      <c r="L220" s="30"/>
      <c r="M220" s="8"/>
    </row>
    <row r="221" spans="1:13" ht="21" customHeight="1">
      <c r="A221" s="9" t="s">
        <v>442</v>
      </c>
      <c r="B221" s="268" t="s">
        <v>443</v>
      </c>
      <c r="C221" s="118" t="s">
        <v>418</v>
      </c>
      <c r="D221" s="118"/>
      <c r="E221" s="12" t="s">
        <v>300</v>
      </c>
      <c r="F221" s="13"/>
      <c r="G221" s="13"/>
      <c r="H221" s="42"/>
      <c r="I221" s="42"/>
      <c r="J221" s="42"/>
      <c r="K221" s="42"/>
      <c r="L221" s="42"/>
      <c r="M221" s="42"/>
    </row>
    <row r="222" spans="1:13" ht="21">
      <c r="A222" s="4"/>
      <c r="B222" s="269"/>
      <c r="C222" s="6"/>
      <c r="D222" s="6"/>
      <c r="E222" s="6" t="s">
        <v>301</v>
      </c>
      <c r="F222" s="28"/>
      <c r="G222" s="28"/>
      <c r="H222" s="28"/>
      <c r="I222" s="49"/>
      <c r="J222" s="8"/>
      <c r="K222" s="8"/>
      <c r="L222" s="8"/>
      <c r="M222" s="8"/>
    </row>
    <row r="223" spans="1:13" ht="21">
      <c r="A223" s="9" t="s">
        <v>444</v>
      </c>
      <c r="B223" s="268" t="s">
        <v>445</v>
      </c>
      <c r="C223" s="118" t="s">
        <v>387</v>
      </c>
      <c r="D223" s="118"/>
      <c r="E223" s="12" t="s">
        <v>300</v>
      </c>
      <c r="F223" s="13"/>
      <c r="G223" s="43"/>
      <c r="H223" s="43"/>
      <c r="I223" s="13"/>
      <c r="J223" s="13"/>
      <c r="K223" s="13"/>
      <c r="L223" s="13"/>
      <c r="M223" s="13"/>
    </row>
    <row r="224" spans="1:13" ht="21">
      <c r="A224" s="4"/>
      <c r="B224" s="269"/>
      <c r="C224" s="6"/>
      <c r="D224" s="6"/>
      <c r="E224" s="6" t="s">
        <v>301</v>
      </c>
      <c r="F224" s="28"/>
      <c r="G224" s="28"/>
      <c r="H224" s="28"/>
      <c r="I224" s="8"/>
      <c r="J224" s="31"/>
      <c r="K224" s="31"/>
      <c r="L224" s="31"/>
      <c r="M224" s="8"/>
    </row>
    <row r="225" spans="1:13" ht="21">
      <c r="A225" s="119" t="s">
        <v>446</v>
      </c>
      <c r="B225" s="268" t="s">
        <v>447</v>
      </c>
      <c r="C225" s="120" t="s">
        <v>337</v>
      </c>
      <c r="D225" s="120"/>
      <c r="E225" s="12" t="s">
        <v>300</v>
      </c>
      <c r="F225" s="13"/>
      <c r="G225" s="43"/>
      <c r="H225" s="43"/>
      <c r="I225" s="13"/>
      <c r="J225" s="13"/>
      <c r="K225" s="13"/>
      <c r="L225" s="13"/>
      <c r="M225" s="13"/>
    </row>
    <row r="226" spans="1:13" ht="21">
      <c r="A226" s="18"/>
      <c r="B226" s="278"/>
      <c r="C226" s="20"/>
      <c r="D226" s="20"/>
      <c r="E226" s="20" t="s">
        <v>301</v>
      </c>
      <c r="F226" s="47"/>
      <c r="G226" s="22"/>
      <c r="H226" s="22"/>
      <c r="I226" s="22"/>
      <c r="J226" s="22"/>
      <c r="K226" s="22"/>
      <c r="L226" s="22"/>
      <c r="M226" s="22"/>
    </row>
    <row r="227" ht="21">
      <c r="A227" s="137" t="s">
        <v>448</v>
      </c>
    </row>
    <row r="228" spans="1:2" ht="21">
      <c r="A228" s="139" t="s">
        <v>449</v>
      </c>
      <c r="B228" t="s">
        <v>450</v>
      </c>
    </row>
    <row r="229" spans="1:2" ht="21">
      <c r="A229" s="139" t="s">
        <v>451</v>
      </c>
      <c r="B229" t="s">
        <v>452</v>
      </c>
    </row>
    <row r="230" spans="1:2" ht="21">
      <c r="A230" s="139" t="s">
        <v>453</v>
      </c>
      <c r="B230" t="s">
        <v>454</v>
      </c>
    </row>
    <row r="231" spans="1:2" ht="21">
      <c r="A231" s="139" t="s">
        <v>455</v>
      </c>
      <c r="B231" t="s">
        <v>456</v>
      </c>
    </row>
  </sheetData>
  <mergeCells count="110">
    <mergeCell ref="B219:B220"/>
    <mergeCell ref="B221:B222"/>
    <mergeCell ref="B223:B224"/>
    <mergeCell ref="B225:B226"/>
    <mergeCell ref="B211:B212"/>
    <mergeCell ref="B213:B214"/>
    <mergeCell ref="B215:B216"/>
    <mergeCell ref="B217:B218"/>
    <mergeCell ref="B203:B204"/>
    <mergeCell ref="B205:B206"/>
    <mergeCell ref="B207:B208"/>
    <mergeCell ref="B209:B210"/>
    <mergeCell ref="B194:B195"/>
    <mergeCell ref="B196:B197"/>
    <mergeCell ref="B199:B200"/>
    <mergeCell ref="B201:B202"/>
    <mergeCell ref="B185:B186"/>
    <mergeCell ref="B187:B188"/>
    <mergeCell ref="B189:B190"/>
    <mergeCell ref="B191:B192"/>
    <mergeCell ref="B176:B177"/>
    <mergeCell ref="B178:B179"/>
    <mergeCell ref="B180:B181"/>
    <mergeCell ref="B183:B184"/>
    <mergeCell ref="B167:B168"/>
    <mergeCell ref="B170:B171"/>
    <mergeCell ref="B172:B173"/>
    <mergeCell ref="B174:B175"/>
    <mergeCell ref="B159:B160"/>
    <mergeCell ref="B161:B162"/>
    <mergeCell ref="B163:B164"/>
    <mergeCell ref="B165:B166"/>
    <mergeCell ref="B151:B152"/>
    <mergeCell ref="B153:B154"/>
    <mergeCell ref="B155:B156"/>
    <mergeCell ref="B157:B158"/>
    <mergeCell ref="B143:B144"/>
    <mergeCell ref="B145:B146"/>
    <mergeCell ref="B147:B148"/>
    <mergeCell ref="B149:B150"/>
    <mergeCell ref="B134:B135"/>
    <mergeCell ref="B136:B137"/>
    <mergeCell ref="B138:B139"/>
    <mergeCell ref="B141:B142"/>
    <mergeCell ref="B125:B126"/>
    <mergeCell ref="B128:B129"/>
    <mergeCell ref="B130:B131"/>
    <mergeCell ref="B132:B133"/>
    <mergeCell ref="B117:B118"/>
    <mergeCell ref="B119:B120"/>
    <mergeCell ref="B121:B122"/>
    <mergeCell ref="B123:B124"/>
    <mergeCell ref="B109:B110"/>
    <mergeCell ref="B111:B112"/>
    <mergeCell ref="B113:B114"/>
    <mergeCell ref="B115:B116"/>
    <mergeCell ref="B100:B101"/>
    <mergeCell ref="B102:B103"/>
    <mergeCell ref="B105:B106"/>
    <mergeCell ref="B107:B108"/>
    <mergeCell ref="B71:B72"/>
    <mergeCell ref="B73:B74"/>
    <mergeCell ref="B77:B78"/>
    <mergeCell ref="B97:B98"/>
    <mergeCell ref="B89:B90"/>
    <mergeCell ref="B87:B88"/>
    <mergeCell ref="B85:B86"/>
    <mergeCell ref="B81:B82"/>
    <mergeCell ref="B83:B84"/>
    <mergeCell ref="B91:B92"/>
    <mergeCell ref="B39:B40"/>
    <mergeCell ref="B41:B42"/>
    <mergeCell ref="B43:B44"/>
    <mergeCell ref="B69:B70"/>
    <mergeCell ref="B45:B46"/>
    <mergeCell ref="B50:B51"/>
    <mergeCell ref="B52:B53"/>
    <mergeCell ref="B54:B55"/>
    <mergeCell ref="B62:B63"/>
    <mergeCell ref="B33:B34"/>
    <mergeCell ref="B35:B36"/>
    <mergeCell ref="B5:B6"/>
    <mergeCell ref="B9:B10"/>
    <mergeCell ref="B27:B28"/>
    <mergeCell ref="B7:B8"/>
    <mergeCell ref="B79:B80"/>
    <mergeCell ref="A2:B3"/>
    <mergeCell ref="B64:B65"/>
    <mergeCell ref="B67:B68"/>
    <mergeCell ref="B56:B57"/>
    <mergeCell ref="B58:B59"/>
    <mergeCell ref="B60:B61"/>
    <mergeCell ref="B47:B48"/>
    <mergeCell ref="B29:B30"/>
    <mergeCell ref="B31:B32"/>
    <mergeCell ref="I2:M2"/>
    <mergeCell ref="F2:H2"/>
    <mergeCell ref="C2:C3"/>
    <mergeCell ref="D2:D3"/>
    <mergeCell ref="E2:E3"/>
    <mergeCell ref="B93:B94"/>
    <mergeCell ref="B95:B96"/>
    <mergeCell ref="B13:B14"/>
    <mergeCell ref="B15:B16"/>
    <mergeCell ref="B17:B18"/>
    <mergeCell ref="B19:B20"/>
    <mergeCell ref="B21:B22"/>
    <mergeCell ref="B23:B24"/>
    <mergeCell ref="B25:B26"/>
    <mergeCell ref="B37:B38"/>
  </mergeCells>
  <printOptions/>
  <pageMargins left="0.5905511811023623" right="0.5905511811023623" top="0.7874015748031497" bottom="0.984251968503937" header="0.5118110236220472" footer="0.5118110236220472"/>
  <pageSetup fitToHeight="0" fitToWidth="1" horizontalDpi="600" verticalDpi="600" orientation="landscape" paperSize="9" scale="81" r:id="rId1"/>
  <headerFooter alignWithMargins="0">
    <oddFooter>&amp;L&amp;F&amp;R&amp;A 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7">
    <tabColor indexed="13"/>
  </sheetPr>
  <dimension ref="A1:M102"/>
  <sheetViews>
    <sheetView zoomScale="88" zoomScaleNormal="88" workbookViewId="0" topLeftCell="A1">
      <pane xSplit="3" ySplit="3" topLeftCell="G79" activePane="bottomRight" state="frozen"/>
      <selection pane="topLeft" activeCell="A1" sqref="A1"/>
      <selection pane="topRight" activeCell="D1" sqref="D1"/>
      <selection pane="bottomLeft" activeCell="A4" sqref="A4"/>
      <selection pane="bottomRight" activeCell="B89" sqref="B89:B90"/>
    </sheetView>
  </sheetViews>
  <sheetFormatPr defaultColWidth="9.33203125" defaultRowHeight="21"/>
  <cols>
    <col min="1" max="1" width="7.33203125" style="137" customWidth="1"/>
    <col min="2" max="2" width="83.83203125" style="0" customWidth="1"/>
    <col min="3" max="5" width="10.33203125" style="138" customWidth="1"/>
    <col min="6" max="8" width="10.16015625" style="54" bestFit="1" customWidth="1"/>
    <col min="9" max="9" width="10.5" style="54" customWidth="1"/>
    <col min="10" max="10" width="10.16015625" style="54" customWidth="1"/>
    <col min="11" max="11" width="10.33203125" style="54" customWidth="1"/>
    <col min="12" max="12" width="10.16015625" style="54" customWidth="1"/>
    <col min="13" max="13" width="10" style="54" customWidth="1"/>
  </cols>
  <sheetData>
    <row r="1" spans="1:13" ht="23.25">
      <c r="A1" s="112" t="s">
        <v>457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</row>
    <row r="2" spans="1:13" ht="25.5" customHeight="1">
      <c r="A2" s="274" t="s">
        <v>294</v>
      </c>
      <c r="B2" s="275"/>
      <c r="C2" s="272" t="s">
        <v>295</v>
      </c>
      <c r="D2" s="272" t="s">
        <v>296</v>
      </c>
      <c r="E2" s="272" t="s">
        <v>297</v>
      </c>
      <c r="F2" s="271" t="s">
        <v>3</v>
      </c>
      <c r="G2" s="271"/>
      <c r="H2" s="271"/>
      <c r="I2" s="271" t="s">
        <v>4</v>
      </c>
      <c r="J2" s="271"/>
      <c r="K2" s="271"/>
      <c r="L2" s="271"/>
      <c r="M2" s="271"/>
    </row>
    <row r="3" spans="1:13" ht="25.5" customHeight="1">
      <c r="A3" s="276"/>
      <c r="B3" s="277"/>
      <c r="C3" s="273"/>
      <c r="D3" s="273"/>
      <c r="E3" s="273"/>
      <c r="F3" s="114">
        <v>2547</v>
      </c>
      <c r="G3" s="114">
        <v>2548</v>
      </c>
      <c r="H3" s="114">
        <v>2549</v>
      </c>
      <c r="I3" s="114">
        <v>2550</v>
      </c>
      <c r="J3" s="114">
        <v>2551</v>
      </c>
      <c r="K3" s="114">
        <v>2552</v>
      </c>
      <c r="L3" s="114">
        <v>2553</v>
      </c>
      <c r="M3" s="114">
        <v>2554</v>
      </c>
    </row>
    <row r="4" spans="1:13" ht="21">
      <c r="A4" s="115" t="s">
        <v>5</v>
      </c>
      <c r="B4" s="116"/>
      <c r="C4" s="117"/>
      <c r="D4" s="117">
        <v>6.67</v>
      </c>
      <c r="E4" s="117"/>
      <c r="F4" s="117"/>
      <c r="G4" s="117"/>
      <c r="H4" s="117"/>
      <c r="I4" s="117"/>
      <c r="J4" s="117"/>
      <c r="K4" s="117"/>
      <c r="L4" s="117"/>
      <c r="M4" s="117"/>
    </row>
    <row r="5" spans="1:13" ht="21">
      <c r="A5" s="9" t="s">
        <v>9</v>
      </c>
      <c r="B5" s="282" t="s">
        <v>458</v>
      </c>
      <c r="C5" s="118" t="s">
        <v>303</v>
      </c>
      <c r="D5" s="118">
        <v>6.67</v>
      </c>
      <c r="E5" s="6" t="s">
        <v>300</v>
      </c>
      <c r="F5" s="7"/>
      <c r="G5" s="7"/>
      <c r="H5" s="7"/>
      <c r="I5" s="8">
        <v>85</v>
      </c>
      <c r="J5" s="8">
        <v>85</v>
      </c>
      <c r="K5" s="8">
        <v>85</v>
      </c>
      <c r="L5" s="8">
        <v>85</v>
      </c>
      <c r="M5" s="24" t="s">
        <v>12</v>
      </c>
    </row>
    <row r="6" spans="1:13" ht="21">
      <c r="A6" s="18"/>
      <c r="B6" s="281"/>
      <c r="C6" s="20"/>
      <c r="D6" s="20"/>
      <c r="E6" s="20" t="s">
        <v>301</v>
      </c>
      <c r="F6" s="22"/>
      <c r="G6" s="22"/>
      <c r="H6" s="22"/>
      <c r="I6" s="51"/>
      <c r="J6" s="22"/>
      <c r="K6" s="22"/>
      <c r="L6" s="22"/>
      <c r="M6" s="22"/>
    </row>
    <row r="7" spans="1:13" ht="21">
      <c r="A7" s="115" t="s">
        <v>31</v>
      </c>
      <c r="B7" s="116"/>
      <c r="C7" s="117"/>
      <c r="D7" s="117">
        <v>26.63</v>
      </c>
      <c r="E7" s="117"/>
      <c r="F7" s="117"/>
      <c r="G7" s="117"/>
      <c r="H7" s="117"/>
      <c r="I7" s="117"/>
      <c r="J7" s="117"/>
      <c r="K7" s="117"/>
      <c r="L7" s="117"/>
      <c r="M7" s="117"/>
    </row>
    <row r="8" spans="1:13" ht="21">
      <c r="A8" s="122" t="s">
        <v>305</v>
      </c>
      <c r="B8" s="123"/>
      <c r="C8" s="124"/>
      <c r="D8" s="124">
        <v>13.31</v>
      </c>
      <c r="E8" s="124"/>
      <c r="F8" s="124"/>
      <c r="G8" s="124"/>
      <c r="H8" s="124"/>
      <c r="I8" s="124"/>
      <c r="J8" s="124"/>
      <c r="K8" s="124"/>
      <c r="L8" s="124"/>
      <c r="M8" s="124"/>
    </row>
    <row r="9" spans="1:13" ht="21">
      <c r="A9" s="9" t="s">
        <v>32</v>
      </c>
      <c r="B9" s="282" t="s">
        <v>459</v>
      </c>
      <c r="C9" s="118" t="s">
        <v>315</v>
      </c>
      <c r="D9" s="118">
        <v>1.66</v>
      </c>
      <c r="E9" s="6" t="s">
        <v>300</v>
      </c>
      <c r="F9" s="140"/>
      <c r="G9" s="140"/>
      <c r="H9" s="140"/>
      <c r="I9" s="8">
        <v>6</v>
      </c>
      <c r="J9" s="8">
        <v>6</v>
      </c>
      <c r="K9" s="8">
        <v>6</v>
      </c>
      <c r="L9" s="8">
        <v>6</v>
      </c>
      <c r="M9" s="8">
        <v>6</v>
      </c>
    </row>
    <row r="10" spans="1:13" ht="21">
      <c r="A10" s="4"/>
      <c r="B10" s="280"/>
      <c r="C10" s="6"/>
      <c r="D10" s="6"/>
      <c r="E10" s="6" t="s">
        <v>301</v>
      </c>
      <c r="F10" s="8"/>
      <c r="G10" s="8"/>
      <c r="H10" s="8"/>
      <c r="I10" s="134"/>
      <c r="J10" s="134"/>
      <c r="K10" s="134"/>
      <c r="L10" s="134"/>
      <c r="M10" s="134"/>
    </row>
    <row r="11" spans="1:13" ht="21">
      <c r="A11" s="9" t="s">
        <v>36</v>
      </c>
      <c r="B11" s="279" t="s">
        <v>460</v>
      </c>
      <c r="C11" s="118" t="s">
        <v>315</v>
      </c>
      <c r="D11" s="118">
        <v>1.66</v>
      </c>
      <c r="E11" s="12" t="s">
        <v>300</v>
      </c>
      <c r="F11" s="13"/>
      <c r="G11" s="13"/>
      <c r="H11" s="13"/>
      <c r="I11" s="14">
        <v>6</v>
      </c>
      <c r="J11" s="14">
        <v>6</v>
      </c>
      <c r="K11" s="14">
        <v>6</v>
      </c>
      <c r="L11" s="14">
        <v>6</v>
      </c>
      <c r="M11" s="15" t="s">
        <v>146</v>
      </c>
    </row>
    <row r="12" spans="1:13" ht="21">
      <c r="A12" s="4"/>
      <c r="B12" s="280"/>
      <c r="C12" s="6"/>
      <c r="D12" s="6"/>
      <c r="E12" s="6" t="s">
        <v>301</v>
      </c>
      <c r="F12" s="8"/>
      <c r="G12" s="8"/>
      <c r="H12" s="8">
        <v>3</v>
      </c>
      <c r="I12" s="8"/>
      <c r="J12" s="8"/>
      <c r="K12" s="8"/>
      <c r="L12" s="8"/>
      <c r="M12" s="8"/>
    </row>
    <row r="13" spans="1:13" ht="21">
      <c r="A13" s="9" t="s">
        <v>42</v>
      </c>
      <c r="B13" s="279" t="s">
        <v>461</v>
      </c>
      <c r="C13" s="118" t="s">
        <v>303</v>
      </c>
      <c r="D13" s="118">
        <v>1.66</v>
      </c>
      <c r="E13" s="12" t="s">
        <v>300</v>
      </c>
      <c r="F13" s="13"/>
      <c r="G13" s="13"/>
      <c r="H13" s="13"/>
      <c r="I13" s="14">
        <v>-40</v>
      </c>
      <c r="J13" s="14">
        <v>-40</v>
      </c>
      <c r="K13" s="14">
        <v>-40</v>
      </c>
      <c r="L13" s="14">
        <v>-40</v>
      </c>
      <c r="M13" s="15" t="s">
        <v>44</v>
      </c>
    </row>
    <row r="14" spans="1:13" ht="21">
      <c r="A14" s="4"/>
      <c r="B14" s="280"/>
      <c r="C14" s="6"/>
      <c r="D14" s="6"/>
      <c r="E14" s="6" t="s">
        <v>301</v>
      </c>
      <c r="F14" s="8"/>
      <c r="G14" s="8"/>
      <c r="H14" s="49">
        <v>-45.85</v>
      </c>
      <c r="I14" s="24"/>
      <c r="J14" s="24"/>
      <c r="K14" s="24"/>
      <c r="L14" s="24"/>
      <c r="M14" s="24"/>
    </row>
    <row r="15" spans="1:13" ht="21" customHeight="1">
      <c r="A15" s="9" t="s">
        <v>46</v>
      </c>
      <c r="B15" s="279" t="s">
        <v>462</v>
      </c>
      <c r="C15" s="118" t="s">
        <v>303</v>
      </c>
      <c r="D15" s="118">
        <v>1.66</v>
      </c>
      <c r="E15" s="12" t="s">
        <v>300</v>
      </c>
      <c r="F15" s="130"/>
      <c r="G15" s="130"/>
      <c r="H15" s="130"/>
      <c r="I15" s="24" t="s">
        <v>55</v>
      </c>
      <c r="J15" s="24" t="s">
        <v>55</v>
      </c>
      <c r="K15" s="24" t="s">
        <v>55</v>
      </c>
      <c r="L15" s="24" t="s">
        <v>55</v>
      </c>
      <c r="M15" s="24" t="s">
        <v>55</v>
      </c>
    </row>
    <row r="16" spans="1:13" ht="21">
      <c r="A16" s="4"/>
      <c r="B16" s="280"/>
      <c r="C16" s="6"/>
      <c r="D16" s="6"/>
      <c r="E16" s="6" t="s">
        <v>301</v>
      </c>
      <c r="F16" s="8" t="s">
        <v>533</v>
      </c>
      <c r="G16" s="8" t="s">
        <v>518</v>
      </c>
      <c r="H16" s="49" t="s">
        <v>278</v>
      </c>
      <c r="I16" s="24"/>
      <c r="J16" s="134"/>
      <c r="K16" s="134"/>
      <c r="L16" s="134"/>
      <c r="M16" s="134"/>
    </row>
    <row r="17" spans="1:13" ht="21" customHeight="1">
      <c r="A17" s="9" t="s">
        <v>67</v>
      </c>
      <c r="B17" s="279" t="s">
        <v>463</v>
      </c>
      <c r="C17" s="118" t="s">
        <v>303</v>
      </c>
      <c r="D17" s="118">
        <v>1.66</v>
      </c>
      <c r="E17" s="12" t="s">
        <v>300</v>
      </c>
      <c r="F17" s="130"/>
      <c r="G17" s="130"/>
      <c r="H17" s="130"/>
      <c r="I17" s="24" t="s">
        <v>75</v>
      </c>
      <c r="J17" s="24" t="s">
        <v>75</v>
      </c>
      <c r="K17" s="24" t="s">
        <v>75</v>
      </c>
      <c r="L17" s="24" t="s">
        <v>75</v>
      </c>
      <c r="M17" s="24" t="s">
        <v>75</v>
      </c>
    </row>
    <row r="18" spans="1:13" ht="21">
      <c r="A18" s="4"/>
      <c r="B18" s="280"/>
      <c r="C18" s="6"/>
      <c r="D18" s="6"/>
      <c r="E18" s="6" t="s">
        <v>301</v>
      </c>
      <c r="F18" s="8" t="s">
        <v>540</v>
      </c>
      <c r="G18" s="8" t="s">
        <v>525</v>
      </c>
      <c r="H18" s="49" t="s">
        <v>284</v>
      </c>
      <c r="I18" s="134"/>
      <c r="J18" s="134"/>
      <c r="K18" s="134"/>
      <c r="L18" s="134"/>
      <c r="M18" s="134"/>
    </row>
    <row r="19" spans="1:13" ht="21">
      <c r="A19" s="9" t="s">
        <v>87</v>
      </c>
      <c r="B19" s="279" t="s">
        <v>464</v>
      </c>
      <c r="C19" s="118" t="s">
        <v>315</v>
      </c>
      <c r="D19" s="118"/>
      <c r="E19" s="12" t="s">
        <v>300</v>
      </c>
      <c r="F19" s="130"/>
      <c r="G19" s="130"/>
      <c r="H19" s="130"/>
      <c r="I19" s="130"/>
      <c r="J19" s="130"/>
      <c r="K19" s="130"/>
      <c r="L19" s="130"/>
      <c r="M19" s="130"/>
    </row>
    <row r="20" spans="1:13" ht="21">
      <c r="A20" s="4"/>
      <c r="B20" s="280"/>
      <c r="C20" s="6"/>
      <c r="D20" s="6"/>
      <c r="E20" s="6" t="s">
        <v>301</v>
      </c>
      <c r="F20" s="134"/>
      <c r="G20" s="134"/>
      <c r="H20" s="134"/>
      <c r="I20" s="134"/>
      <c r="J20" s="134"/>
      <c r="K20" s="134"/>
      <c r="L20" s="134"/>
      <c r="M20" s="134"/>
    </row>
    <row r="21" spans="1:13" ht="21">
      <c r="A21" s="9" t="s">
        <v>96</v>
      </c>
      <c r="B21" s="279" t="s">
        <v>465</v>
      </c>
      <c r="C21" s="118" t="s">
        <v>303</v>
      </c>
      <c r="D21" s="118">
        <v>1.67</v>
      </c>
      <c r="E21" s="12" t="s">
        <v>300</v>
      </c>
      <c r="F21" s="13"/>
      <c r="G21" s="13"/>
      <c r="H21" s="13"/>
      <c r="I21" s="14">
        <v>100</v>
      </c>
      <c r="J21" s="14">
        <v>100</v>
      </c>
      <c r="K21" s="14">
        <v>100</v>
      </c>
      <c r="L21" s="14">
        <v>100</v>
      </c>
      <c r="M21" s="15" t="s">
        <v>98</v>
      </c>
    </row>
    <row r="22" spans="1:13" ht="21">
      <c r="A22" s="4"/>
      <c r="B22" s="280"/>
      <c r="C22" s="6"/>
      <c r="D22" s="6"/>
      <c r="E22" s="6" t="s">
        <v>301</v>
      </c>
      <c r="F22" s="8">
        <v>100</v>
      </c>
      <c r="G22" s="8">
        <v>100</v>
      </c>
      <c r="H22" s="8">
        <v>100</v>
      </c>
      <c r="I22" s="8"/>
      <c r="J22" s="8"/>
      <c r="K22" s="8"/>
      <c r="L22" s="8"/>
      <c r="M22" s="8"/>
    </row>
    <row r="23" spans="1:13" ht="21">
      <c r="A23" s="9" t="s">
        <v>99</v>
      </c>
      <c r="B23" s="279" t="s">
        <v>466</v>
      </c>
      <c r="C23" s="118" t="s">
        <v>299</v>
      </c>
      <c r="D23" s="118">
        <v>1.67</v>
      </c>
      <c r="E23" s="12" t="s">
        <v>300</v>
      </c>
      <c r="F23" s="13"/>
      <c r="G23" s="13"/>
      <c r="H23" s="13"/>
      <c r="I23" s="14">
        <v>4.2</v>
      </c>
      <c r="J23" s="14">
        <v>4.2</v>
      </c>
      <c r="K23" s="14">
        <v>4.2</v>
      </c>
      <c r="L23" s="14">
        <v>4.2</v>
      </c>
      <c r="M23" s="15" t="s">
        <v>101</v>
      </c>
    </row>
    <row r="24" spans="1:13" ht="21">
      <c r="A24" s="4"/>
      <c r="B24" s="280"/>
      <c r="C24" s="6"/>
      <c r="D24" s="6"/>
      <c r="E24" s="6" t="s">
        <v>301</v>
      </c>
      <c r="F24" s="8">
        <v>3.95</v>
      </c>
      <c r="G24" s="8"/>
      <c r="H24" s="8">
        <v>4.37</v>
      </c>
      <c r="I24" s="8"/>
      <c r="J24" s="8"/>
      <c r="K24" s="8"/>
      <c r="L24" s="8"/>
      <c r="M24" s="8"/>
    </row>
    <row r="25" spans="1:13" ht="21" customHeight="1">
      <c r="A25" s="9" t="s">
        <v>105</v>
      </c>
      <c r="B25" s="279" t="s">
        <v>467</v>
      </c>
      <c r="C25" s="118" t="s">
        <v>325</v>
      </c>
      <c r="D25" s="118"/>
      <c r="E25" s="12" t="s">
        <v>300</v>
      </c>
      <c r="F25" s="13"/>
      <c r="G25" s="13"/>
      <c r="H25" s="13"/>
      <c r="I25" s="13"/>
      <c r="J25" s="13"/>
      <c r="K25" s="13"/>
      <c r="L25" s="13"/>
      <c r="M25" s="136"/>
    </row>
    <row r="26" spans="1:13" ht="21">
      <c r="A26" s="4"/>
      <c r="B26" s="280"/>
      <c r="C26" s="6"/>
      <c r="D26" s="6"/>
      <c r="E26" s="6" t="s">
        <v>301</v>
      </c>
      <c r="F26" s="8"/>
      <c r="G26" s="8"/>
      <c r="H26" s="8">
        <v>1</v>
      </c>
      <c r="I26" s="8"/>
      <c r="J26" s="8"/>
      <c r="K26" s="8"/>
      <c r="L26" s="8"/>
      <c r="M26" s="8"/>
    </row>
    <row r="27" spans="1:13" ht="21">
      <c r="A27" s="9" t="s">
        <v>109</v>
      </c>
      <c r="B27" s="279" t="s">
        <v>468</v>
      </c>
      <c r="C27" s="118" t="s">
        <v>303</v>
      </c>
      <c r="D27" s="118">
        <v>1.67</v>
      </c>
      <c r="E27" s="12" t="s">
        <v>300</v>
      </c>
      <c r="F27" s="13"/>
      <c r="G27" s="13"/>
      <c r="H27" s="13"/>
      <c r="I27" s="14">
        <v>40</v>
      </c>
      <c r="J27" s="102">
        <v>50</v>
      </c>
      <c r="K27" s="102">
        <v>50</v>
      </c>
      <c r="L27" s="102">
        <v>50</v>
      </c>
      <c r="M27" s="103" t="s">
        <v>114</v>
      </c>
    </row>
    <row r="28" spans="1:13" ht="21">
      <c r="A28" s="4"/>
      <c r="B28" s="280"/>
      <c r="C28" s="6"/>
      <c r="D28" s="6"/>
      <c r="E28" s="6" t="s">
        <v>301</v>
      </c>
      <c r="F28" s="30">
        <v>80.76923076923077</v>
      </c>
      <c r="G28" s="30">
        <v>51.68539325842697</v>
      </c>
      <c r="H28" s="30">
        <v>50.67</v>
      </c>
      <c r="I28" s="8"/>
      <c r="J28" s="8"/>
      <c r="K28" s="8"/>
      <c r="L28" s="8"/>
      <c r="M28" s="8"/>
    </row>
    <row r="29" spans="1:13" ht="21">
      <c r="A29" s="122" t="s">
        <v>328</v>
      </c>
      <c r="B29" s="123"/>
      <c r="C29" s="124"/>
      <c r="D29" s="124">
        <v>13.32</v>
      </c>
      <c r="E29" s="124"/>
      <c r="F29" s="124"/>
      <c r="G29" s="124"/>
      <c r="H29" s="124"/>
      <c r="I29" s="124"/>
      <c r="J29" s="124"/>
      <c r="K29" s="124"/>
      <c r="L29" s="124"/>
      <c r="M29" s="124"/>
    </row>
    <row r="30" spans="1:13" ht="21" customHeight="1">
      <c r="A30" s="9" t="s">
        <v>115</v>
      </c>
      <c r="B30" s="282" t="s">
        <v>469</v>
      </c>
      <c r="C30" s="118" t="s">
        <v>303</v>
      </c>
      <c r="D30" s="118">
        <v>3.33</v>
      </c>
      <c r="E30" s="6" t="s">
        <v>300</v>
      </c>
      <c r="F30" s="140"/>
      <c r="G30" s="140"/>
      <c r="H30" s="140"/>
      <c r="I30" s="102">
        <v>80</v>
      </c>
      <c r="J30" s="102">
        <v>80</v>
      </c>
      <c r="K30" s="102">
        <v>80</v>
      </c>
      <c r="L30" s="102">
        <v>80</v>
      </c>
      <c r="M30" s="102">
        <v>80</v>
      </c>
    </row>
    <row r="31" spans="1:13" ht="21">
      <c r="A31" s="4"/>
      <c r="B31" s="280"/>
      <c r="C31" s="6"/>
      <c r="D31" s="6"/>
      <c r="E31" s="6" t="s">
        <v>301</v>
      </c>
      <c r="F31" s="8"/>
      <c r="G31" s="8"/>
      <c r="H31" s="8"/>
      <c r="I31" s="134"/>
      <c r="J31" s="134"/>
      <c r="K31" s="134"/>
      <c r="L31" s="134"/>
      <c r="M31" s="134"/>
    </row>
    <row r="32" spans="1:13" ht="21" customHeight="1">
      <c r="A32" s="9" t="s">
        <v>117</v>
      </c>
      <c r="B32" s="279" t="s">
        <v>470</v>
      </c>
      <c r="C32" s="118" t="s">
        <v>303</v>
      </c>
      <c r="D32" s="118">
        <v>3.33</v>
      </c>
      <c r="E32" s="12" t="s">
        <v>300</v>
      </c>
      <c r="F32" s="13"/>
      <c r="G32" s="13"/>
      <c r="H32" s="13"/>
      <c r="I32" s="8">
        <v>100</v>
      </c>
      <c r="J32" s="8">
        <v>100</v>
      </c>
      <c r="K32" s="8">
        <v>100</v>
      </c>
      <c r="L32" s="8">
        <v>100</v>
      </c>
      <c r="M32" s="8">
        <v>100</v>
      </c>
    </row>
    <row r="33" spans="1:13" ht="21">
      <c r="A33" s="4"/>
      <c r="B33" s="280"/>
      <c r="C33" s="6"/>
      <c r="D33" s="6"/>
      <c r="E33" s="6" t="s">
        <v>301</v>
      </c>
      <c r="F33" s="30">
        <v>183.33333333333331</v>
      </c>
      <c r="G33" s="8"/>
      <c r="H33" s="30">
        <v>137.5</v>
      </c>
      <c r="J33" s="60"/>
      <c r="K33" s="60"/>
      <c r="L33" s="60"/>
      <c r="M33" s="60"/>
    </row>
    <row r="34" spans="1:13" ht="21" customHeight="1">
      <c r="A34" s="9" t="s">
        <v>123</v>
      </c>
      <c r="B34" s="279" t="s">
        <v>471</v>
      </c>
      <c r="C34" s="118" t="s">
        <v>303</v>
      </c>
      <c r="D34" s="118"/>
      <c r="E34" s="12" t="s">
        <v>300</v>
      </c>
      <c r="F34" s="13"/>
      <c r="G34" s="13"/>
      <c r="H34" s="13"/>
      <c r="I34" s="13"/>
      <c r="J34" s="13"/>
      <c r="K34" s="13"/>
      <c r="L34" s="13"/>
      <c r="M34" s="136"/>
    </row>
    <row r="35" spans="1:13" ht="21">
      <c r="A35" s="4"/>
      <c r="B35" s="280"/>
      <c r="C35" s="6"/>
      <c r="D35" s="6"/>
      <c r="E35" s="6" t="s">
        <v>301</v>
      </c>
      <c r="F35" s="8"/>
      <c r="G35" s="8"/>
      <c r="H35" s="8"/>
      <c r="I35" s="8"/>
      <c r="J35" s="8"/>
      <c r="K35" s="8"/>
      <c r="L35" s="8"/>
      <c r="M35" s="8"/>
    </row>
    <row r="36" spans="1:13" ht="21">
      <c r="A36" s="9" t="s">
        <v>125</v>
      </c>
      <c r="B36" s="279" t="s">
        <v>472</v>
      </c>
      <c r="C36" s="118" t="s">
        <v>303</v>
      </c>
      <c r="D36" s="118">
        <v>3.33</v>
      </c>
      <c r="E36" s="12" t="s">
        <v>300</v>
      </c>
      <c r="F36" s="13"/>
      <c r="G36" s="13"/>
      <c r="H36" s="13"/>
      <c r="I36" s="8">
        <v>10</v>
      </c>
      <c r="J36" s="8">
        <v>10</v>
      </c>
      <c r="K36" s="8">
        <v>10</v>
      </c>
      <c r="L36" s="8">
        <v>10</v>
      </c>
      <c r="M36" s="8">
        <v>10</v>
      </c>
    </row>
    <row r="37" spans="1:13" ht="21">
      <c r="A37" s="4"/>
      <c r="B37" s="280"/>
      <c r="C37" s="6"/>
      <c r="D37" s="6"/>
      <c r="E37" s="6" t="s">
        <v>301</v>
      </c>
      <c r="F37" s="8"/>
      <c r="G37" s="8"/>
      <c r="H37" s="30">
        <v>7.886435331230284</v>
      </c>
      <c r="J37" s="60"/>
      <c r="K37" s="60"/>
      <c r="L37" s="60"/>
      <c r="M37" s="60"/>
    </row>
    <row r="38" spans="1:13" ht="21">
      <c r="A38" s="9" t="s">
        <v>130</v>
      </c>
      <c r="B38" s="279" t="s">
        <v>473</v>
      </c>
      <c r="C38" s="118" t="s">
        <v>303</v>
      </c>
      <c r="D38" s="118">
        <v>3.33</v>
      </c>
      <c r="E38" s="12" t="s">
        <v>300</v>
      </c>
      <c r="F38" s="13"/>
      <c r="G38" s="13"/>
      <c r="H38" s="13"/>
      <c r="I38" s="8">
        <v>100</v>
      </c>
      <c r="J38" s="8">
        <v>100</v>
      </c>
      <c r="K38" s="8">
        <v>100</v>
      </c>
      <c r="L38" s="8">
        <v>100</v>
      </c>
      <c r="M38" s="8">
        <v>100</v>
      </c>
    </row>
    <row r="39" spans="1:13" ht="21">
      <c r="A39" s="4"/>
      <c r="B39" s="280"/>
      <c r="C39" s="6"/>
      <c r="D39" s="6"/>
      <c r="E39" s="6" t="s">
        <v>301</v>
      </c>
      <c r="F39" s="8"/>
      <c r="G39" s="8"/>
      <c r="H39" s="8">
        <v>100</v>
      </c>
      <c r="I39" s="60"/>
      <c r="J39" s="60"/>
      <c r="K39" s="60"/>
      <c r="L39" s="60"/>
      <c r="M39" s="60"/>
    </row>
    <row r="40" spans="1:13" ht="21">
      <c r="A40" s="119" t="s">
        <v>335</v>
      </c>
      <c r="B40" s="279" t="s">
        <v>474</v>
      </c>
      <c r="C40" s="120" t="s">
        <v>303</v>
      </c>
      <c r="D40" s="120"/>
      <c r="E40" s="12" t="s">
        <v>300</v>
      </c>
      <c r="F40" s="13"/>
      <c r="G40" s="13"/>
      <c r="H40" s="13"/>
      <c r="I40" s="14">
        <v>2</v>
      </c>
      <c r="J40" s="14">
        <v>2</v>
      </c>
      <c r="K40" s="14">
        <v>3</v>
      </c>
      <c r="L40" s="141">
        <v>3</v>
      </c>
      <c r="M40" s="142" t="s">
        <v>204</v>
      </c>
    </row>
    <row r="41" spans="1:13" ht="21">
      <c r="A41" s="18"/>
      <c r="B41" s="281"/>
      <c r="C41" s="20"/>
      <c r="D41" s="20"/>
      <c r="E41" s="20" t="s">
        <v>301</v>
      </c>
      <c r="F41" s="22"/>
      <c r="G41" s="22"/>
      <c r="H41" s="22">
        <v>1</v>
      </c>
      <c r="I41" s="22"/>
      <c r="J41" s="22"/>
      <c r="K41" s="22"/>
      <c r="L41" s="22"/>
      <c r="M41" s="22"/>
    </row>
    <row r="42" spans="1:13" ht="21">
      <c r="A42" s="115" t="s">
        <v>132</v>
      </c>
      <c r="B42" s="116"/>
      <c r="C42" s="117"/>
      <c r="D42" s="117">
        <v>10</v>
      </c>
      <c r="E42" s="117"/>
      <c r="F42" s="117"/>
      <c r="G42" s="117"/>
      <c r="H42" s="117"/>
      <c r="I42" s="117"/>
      <c r="J42" s="117"/>
      <c r="K42" s="117"/>
      <c r="L42" s="117"/>
      <c r="M42" s="117"/>
    </row>
    <row r="43" spans="1:13" ht="21" customHeight="1">
      <c r="A43" s="9" t="s">
        <v>138</v>
      </c>
      <c r="B43" s="282" t="s">
        <v>475</v>
      </c>
      <c r="C43" s="118" t="s">
        <v>303</v>
      </c>
      <c r="D43" s="118">
        <v>5</v>
      </c>
      <c r="E43" s="6" t="s">
        <v>300</v>
      </c>
      <c r="F43" s="7"/>
      <c r="G43" s="7"/>
      <c r="H43" s="7"/>
      <c r="I43" s="8">
        <v>60</v>
      </c>
      <c r="J43" s="8">
        <v>65</v>
      </c>
      <c r="K43" s="8">
        <v>70</v>
      </c>
      <c r="L43" s="8">
        <v>70</v>
      </c>
      <c r="M43" s="24" t="s">
        <v>140</v>
      </c>
    </row>
    <row r="44" spans="1:13" ht="21">
      <c r="A44" s="4"/>
      <c r="B44" s="280"/>
      <c r="C44" s="6"/>
      <c r="D44" s="6"/>
      <c r="E44" s="6" t="s">
        <v>301</v>
      </c>
      <c r="F44" s="8"/>
      <c r="G44" s="8"/>
      <c r="H44" s="8">
        <v>70.52</v>
      </c>
      <c r="I44" s="8"/>
      <c r="J44" s="8"/>
      <c r="K44" s="8"/>
      <c r="L44" s="8"/>
      <c r="M44" s="8"/>
    </row>
    <row r="45" spans="1:13" ht="21">
      <c r="A45" s="119" t="s">
        <v>141</v>
      </c>
      <c r="B45" s="279" t="s">
        <v>476</v>
      </c>
      <c r="C45" s="120" t="s">
        <v>303</v>
      </c>
      <c r="D45" s="120">
        <v>5</v>
      </c>
      <c r="E45" s="12" t="s">
        <v>300</v>
      </c>
      <c r="F45" s="130"/>
      <c r="G45" s="130"/>
      <c r="H45" s="130"/>
      <c r="I45" s="14">
        <v>99.5</v>
      </c>
      <c r="J45" s="14">
        <v>99.5</v>
      </c>
      <c r="K45" s="14">
        <v>99.5</v>
      </c>
      <c r="L45" s="14">
        <v>99.5</v>
      </c>
      <c r="M45" s="14">
        <v>99.5</v>
      </c>
    </row>
    <row r="46" spans="1:13" ht="21">
      <c r="A46" s="18"/>
      <c r="B46" s="281"/>
      <c r="C46" s="20"/>
      <c r="D46" s="20"/>
      <c r="E46" s="20" t="s">
        <v>301</v>
      </c>
      <c r="F46" s="22"/>
      <c r="G46" s="22"/>
      <c r="H46" s="51">
        <v>99.6845425867508</v>
      </c>
      <c r="I46" s="131"/>
      <c r="J46" s="131"/>
      <c r="K46" s="131"/>
      <c r="L46" s="131"/>
      <c r="M46" s="131"/>
    </row>
    <row r="47" spans="1:13" ht="21">
      <c r="A47" s="115" t="s">
        <v>143</v>
      </c>
      <c r="B47" s="116"/>
      <c r="C47" s="117"/>
      <c r="D47" s="117">
        <v>10</v>
      </c>
      <c r="E47" s="117"/>
      <c r="F47" s="117"/>
      <c r="G47" s="117"/>
      <c r="H47" s="117"/>
      <c r="I47" s="117"/>
      <c r="J47" s="117"/>
      <c r="K47" s="117"/>
      <c r="L47" s="117"/>
      <c r="M47" s="117"/>
    </row>
    <row r="48" spans="1:13" ht="21" customHeight="1">
      <c r="A48" s="9" t="s">
        <v>149</v>
      </c>
      <c r="B48" s="282" t="s">
        <v>477</v>
      </c>
      <c r="C48" s="118" t="s">
        <v>348</v>
      </c>
      <c r="D48" s="118">
        <v>3</v>
      </c>
      <c r="E48" s="6" t="s">
        <v>300</v>
      </c>
      <c r="F48" s="7"/>
      <c r="G48" s="7"/>
      <c r="H48" s="7"/>
      <c r="I48" s="31">
        <v>80000</v>
      </c>
      <c r="J48" s="31">
        <v>75000</v>
      </c>
      <c r="K48" s="31">
        <v>75000</v>
      </c>
      <c r="L48" s="31">
        <v>75000</v>
      </c>
      <c r="M48" s="31">
        <v>75000</v>
      </c>
    </row>
    <row r="49" spans="1:13" ht="21">
      <c r="A49" s="4"/>
      <c r="B49" s="280"/>
      <c r="C49" s="6"/>
      <c r="D49" s="6"/>
      <c r="E49" s="6" t="s">
        <v>301</v>
      </c>
      <c r="F49" s="8"/>
      <c r="G49" s="8"/>
      <c r="H49" s="31">
        <v>99630.040985</v>
      </c>
      <c r="I49" s="31"/>
      <c r="J49" s="8"/>
      <c r="K49" s="8"/>
      <c r="L49" s="8"/>
      <c r="M49" s="8"/>
    </row>
    <row r="50" spans="1:13" ht="21" customHeight="1">
      <c r="A50" s="9" t="s">
        <v>151</v>
      </c>
      <c r="B50" s="279" t="s">
        <v>478</v>
      </c>
      <c r="C50" s="118" t="s">
        <v>303</v>
      </c>
      <c r="D50" s="118">
        <v>3</v>
      </c>
      <c r="E50" s="12" t="s">
        <v>300</v>
      </c>
      <c r="F50" s="13"/>
      <c r="G50" s="13"/>
      <c r="H50" s="13"/>
      <c r="I50" s="14">
        <v>100</v>
      </c>
      <c r="J50" s="14">
        <v>100</v>
      </c>
      <c r="K50" s="14">
        <v>100</v>
      </c>
      <c r="L50" s="14">
        <v>100</v>
      </c>
      <c r="M50" s="15" t="s">
        <v>98</v>
      </c>
    </row>
    <row r="51" spans="1:13" ht="42" customHeight="1">
      <c r="A51" s="4"/>
      <c r="B51" s="280"/>
      <c r="C51" s="6"/>
      <c r="D51" s="6"/>
      <c r="E51" s="6" t="s">
        <v>301</v>
      </c>
      <c r="F51" s="49">
        <v>146.34615384615384</v>
      </c>
      <c r="G51" s="30">
        <v>113.6</v>
      </c>
      <c r="H51" s="49">
        <v>182.56</v>
      </c>
      <c r="I51" s="30"/>
      <c r="J51" s="8"/>
      <c r="K51" s="8"/>
      <c r="L51" s="8"/>
      <c r="M51" s="8"/>
    </row>
    <row r="52" spans="1:13" ht="21" customHeight="1">
      <c r="A52" s="9" t="s">
        <v>154</v>
      </c>
      <c r="B52" s="279" t="s">
        <v>479</v>
      </c>
      <c r="C52" s="118" t="s">
        <v>348</v>
      </c>
      <c r="D52" s="118">
        <v>3</v>
      </c>
      <c r="E52" s="12" t="s">
        <v>300</v>
      </c>
      <c r="F52" s="43"/>
      <c r="G52" s="43"/>
      <c r="H52" s="43"/>
      <c r="I52" s="40">
        <v>30000</v>
      </c>
      <c r="J52" s="40">
        <v>25000</v>
      </c>
      <c r="K52" s="40">
        <v>25000</v>
      </c>
      <c r="L52" s="40">
        <v>25000</v>
      </c>
      <c r="M52" s="40">
        <v>25000</v>
      </c>
    </row>
    <row r="53" spans="1:13" ht="21">
      <c r="A53" s="4"/>
      <c r="B53" s="280"/>
      <c r="C53" s="6"/>
      <c r="D53" s="6"/>
      <c r="E53" s="6" t="s">
        <v>301</v>
      </c>
      <c r="F53" s="31"/>
      <c r="G53" s="31"/>
      <c r="H53" s="31">
        <v>60873.374318333204</v>
      </c>
      <c r="I53" s="31"/>
      <c r="J53" s="31"/>
      <c r="K53" s="31"/>
      <c r="L53" s="31"/>
      <c r="M53" s="31"/>
    </row>
    <row r="54" spans="1:13" ht="21" customHeight="1">
      <c r="A54" s="9" t="s">
        <v>156</v>
      </c>
      <c r="B54" s="279" t="s">
        <v>480</v>
      </c>
      <c r="C54" s="118" t="s">
        <v>348</v>
      </c>
      <c r="D54" s="118">
        <v>3</v>
      </c>
      <c r="E54" s="12" t="s">
        <v>300</v>
      </c>
      <c r="F54" s="43"/>
      <c r="G54" s="43"/>
      <c r="H54" s="43"/>
      <c r="I54" s="40">
        <v>50000</v>
      </c>
      <c r="J54" s="40">
        <v>50000</v>
      </c>
      <c r="K54" s="40">
        <v>50000</v>
      </c>
      <c r="L54" s="40">
        <v>50000</v>
      </c>
      <c r="M54" s="40">
        <v>50000</v>
      </c>
    </row>
    <row r="55" spans="1:13" ht="21">
      <c r="A55" s="4"/>
      <c r="B55" s="280"/>
      <c r="C55" s="6"/>
      <c r="D55" s="6"/>
      <c r="E55" s="6" t="s">
        <v>301</v>
      </c>
      <c r="F55" s="31"/>
      <c r="G55" s="31"/>
      <c r="H55" s="31">
        <v>38756.66666666668</v>
      </c>
      <c r="I55" s="31"/>
      <c r="J55" s="31"/>
      <c r="K55" s="31"/>
      <c r="L55" s="31"/>
      <c r="M55" s="31"/>
    </row>
    <row r="56" spans="1:13" ht="21" customHeight="1">
      <c r="A56" s="9" t="s">
        <v>158</v>
      </c>
      <c r="B56" s="279" t="s">
        <v>481</v>
      </c>
      <c r="C56" s="118" t="s">
        <v>303</v>
      </c>
      <c r="D56" s="118">
        <v>3</v>
      </c>
      <c r="E56" s="12" t="s">
        <v>300</v>
      </c>
      <c r="F56" s="13"/>
      <c r="G56" s="13"/>
      <c r="H56" s="13"/>
      <c r="I56" s="14">
        <v>50</v>
      </c>
      <c r="J56" s="14">
        <v>50</v>
      </c>
      <c r="K56" s="14">
        <v>50</v>
      </c>
      <c r="L56" s="14">
        <v>50</v>
      </c>
      <c r="M56" s="14">
        <v>50</v>
      </c>
    </row>
    <row r="57" spans="1:13" ht="21">
      <c r="A57" s="4"/>
      <c r="B57" s="280"/>
      <c r="C57" s="6"/>
      <c r="D57" s="6"/>
      <c r="E57" s="6" t="s">
        <v>301</v>
      </c>
      <c r="F57" s="170">
        <v>73.077</v>
      </c>
      <c r="G57" s="174">
        <v>52</v>
      </c>
      <c r="H57" s="133">
        <v>68</v>
      </c>
      <c r="I57" s="127"/>
      <c r="J57" s="8"/>
      <c r="K57" s="8"/>
      <c r="L57" s="8"/>
      <c r="M57" s="8"/>
    </row>
    <row r="58" spans="1:13" ht="21" customHeight="1">
      <c r="A58" s="9" t="s">
        <v>161</v>
      </c>
      <c r="B58" s="279" t="s">
        <v>482</v>
      </c>
      <c r="C58" s="118" t="s">
        <v>303</v>
      </c>
      <c r="D58" s="118">
        <v>3</v>
      </c>
      <c r="E58" s="12" t="s">
        <v>300</v>
      </c>
      <c r="F58" s="13"/>
      <c r="G58" s="13"/>
      <c r="H58" s="13"/>
      <c r="I58" s="14">
        <v>30</v>
      </c>
      <c r="J58" s="14">
        <v>30</v>
      </c>
      <c r="K58" s="14">
        <v>30</v>
      </c>
      <c r="L58" s="14">
        <v>30</v>
      </c>
      <c r="M58" s="15" t="s">
        <v>163</v>
      </c>
    </row>
    <row r="59" spans="1:13" ht="21">
      <c r="A59" s="4"/>
      <c r="B59" s="280"/>
      <c r="C59" s="6"/>
      <c r="D59" s="6"/>
      <c r="E59" s="6" t="s">
        <v>301</v>
      </c>
      <c r="F59" s="30">
        <v>15.385</v>
      </c>
      <c r="G59" s="8">
        <v>12</v>
      </c>
      <c r="H59" s="49">
        <v>32</v>
      </c>
      <c r="I59" s="127"/>
      <c r="J59" s="8"/>
      <c r="K59" s="8"/>
      <c r="L59" s="8"/>
      <c r="M59" s="8"/>
    </row>
    <row r="60" spans="1:13" ht="21">
      <c r="A60" s="9" t="s">
        <v>165</v>
      </c>
      <c r="B60" s="279" t="s">
        <v>483</v>
      </c>
      <c r="C60" s="118" t="s">
        <v>303</v>
      </c>
      <c r="D60" s="118">
        <v>3</v>
      </c>
      <c r="E60" s="12" t="s">
        <v>300</v>
      </c>
      <c r="F60" s="13"/>
      <c r="G60" s="13"/>
      <c r="H60" s="13"/>
      <c r="I60" s="14">
        <v>5</v>
      </c>
      <c r="J60" s="14">
        <v>8</v>
      </c>
      <c r="K60" s="14">
        <v>10</v>
      </c>
      <c r="L60" s="14">
        <v>10</v>
      </c>
      <c r="M60" s="15" t="s">
        <v>167</v>
      </c>
    </row>
    <row r="61" spans="1:13" ht="21">
      <c r="A61" s="4"/>
      <c r="B61" s="280"/>
      <c r="C61" s="6"/>
      <c r="D61" s="6"/>
      <c r="E61" s="6" t="s">
        <v>301</v>
      </c>
      <c r="F61" s="30">
        <v>0.38461538461538464</v>
      </c>
      <c r="G61" s="8"/>
      <c r="H61" s="30">
        <v>6</v>
      </c>
      <c r="I61" s="30"/>
      <c r="J61" s="8"/>
      <c r="K61" s="8"/>
      <c r="L61" s="8"/>
      <c r="M61" s="8"/>
    </row>
    <row r="62" spans="1:13" ht="21">
      <c r="A62" s="9" t="s">
        <v>169</v>
      </c>
      <c r="B62" s="279" t="s">
        <v>355</v>
      </c>
      <c r="C62" s="118" t="s">
        <v>303</v>
      </c>
      <c r="D62" s="118">
        <v>3</v>
      </c>
      <c r="E62" s="12" t="s">
        <v>300</v>
      </c>
      <c r="F62" s="13"/>
      <c r="G62" s="13"/>
      <c r="H62" s="13"/>
      <c r="I62" s="14">
        <v>55</v>
      </c>
      <c r="J62" s="14">
        <v>55</v>
      </c>
      <c r="K62" s="14">
        <v>55</v>
      </c>
      <c r="L62" s="14">
        <v>55</v>
      </c>
      <c r="M62" s="15" t="s">
        <v>113</v>
      </c>
    </row>
    <row r="63" spans="1:13" ht="21">
      <c r="A63" s="4"/>
      <c r="B63" s="280"/>
      <c r="C63" s="6"/>
      <c r="D63" s="6"/>
      <c r="E63" s="6" t="s">
        <v>301</v>
      </c>
      <c r="F63" s="8"/>
      <c r="G63" s="8"/>
      <c r="H63" s="8"/>
      <c r="I63" s="127"/>
      <c r="J63" s="8"/>
      <c r="K63" s="8"/>
      <c r="L63" s="8"/>
      <c r="M63" s="8"/>
    </row>
    <row r="64" spans="1:13" ht="21">
      <c r="A64" s="122" t="s">
        <v>359</v>
      </c>
      <c r="B64" s="123"/>
      <c r="C64" s="124"/>
      <c r="D64" s="124">
        <v>10</v>
      </c>
      <c r="E64" s="124"/>
      <c r="F64" s="124"/>
      <c r="G64" s="124"/>
      <c r="H64" s="124"/>
      <c r="I64" s="124"/>
      <c r="J64" s="124"/>
      <c r="K64" s="124"/>
      <c r="L64" s="124"/>
      <c r="M64" s="124"/>
    </row>
    <row r="65" spans="1:13" ht="21" customHeight="1">
      <c r="A65" s="9" t="s">
        <v>172</v>
      </c>
      <c r="B65" s="282" t="s">
        <v>484</v>
      </c>
      <c r="C65" s="118" t="s">
        <v>303</v>
      </c>
      <c r="D65" s="118">
        <v>10</v>
      </c>
      <c r="E65" s="6" t="s">
        <v>300</v>
      </c>
      <c r="F65" s="7"/>
      <c r="G65" s="7"/>
      <c r="H65" s="7"/>
      <c r="I65" s="8">
        <v>20</v>
      </c>
      <c r="J65" s="8">
        <v>20</v>
      </c>
      <c r="K65" s="8">
        <v>20</v>
      </c>
      <c r="L65" s="8">
        <v>20</v>
      </c>
      <c r="M65" s="24" t="s">
        <v>174</v>
      </c>
    </row>
    <row r="66" spans="1:13" ht="21">
      <c r="A66" s="18"/>
      <c r="B66" s="281"/>
      <c r="C66" s="20"/>
      <c r="D66" s="20"/>
      <c r="E66" s="20" t="s">
        <v>301</v>
      </c>
      <c r="F66" s="51">
        <v>11.11111111111111</v>
      </c>
      <c r="G66" s="51">
        <v>30.76923076923077</v>
      </c>
      <c r="H66" s="51">
        <v>26.923076923076923</v>
      </c>
      <c r="I66" s="51"/>
      <c r="J66" s="22"/>
      <c r="K66" s="22"/>
      <c r="L66" s="22"/>
      <c r="M66" s="22"/>
    </row>
    <row r="67" spans="1:13" ht="21">
      <c r="A67" s="115" t="s">
        <v>179</v>
      </c>
      <c r="B67" s="116"/>
      <c r="C67" s="117"/>
      <c r="D67" s="117">
        <v>5</v>
      </c>
      <c r="E67" s="117"/>
      <c r="F67" s="117"/>
      <c r="G67" s="117"/>
      <c r="H67" s="117"/>
      <c r="I67" s="117"/>
      <c r="J67" s="117"/>
      <c r="K67" s="117"/>
      <c r="L67" s="117"/>
      <c r="M67" s="117"/>
    </row>
    <row r="68" spans="1:13" ht="21" customHeight="1">
      <c r="A68" s="9" t="s">
        <v>182</v>
      </c>
      <c r="B68" s="282" t="s">
        <v>485</v>
      </c>
      <c r="C68" s="118" t="s">
        <v>303</v>
      </c>
      <c r="D68" s="118">
        <v>2.5</v>
      </c>
      <c r="E68" s="6" t="s">
        <v>300</v>
      </c>
      <c r="F68" s="7"/>
      <c r="G68" s="7"/>
      <c r="H68" s="7"/>
      <c r="I68" s="8">
        <v>40</v>
      </c>
      <c r="J68" s="8">
        <v>40</v>
      </c>
      <c r="K68" s="8">
        <v>40</v>
      </c>
      <c r="L68" s="8">
        <v>40</v>
      </c>
      <c r="M68" s="24" t="s">
        <v>111</v>
      </c>
    </row>
    <row r="69" spans="1:13" ht="42" customHeight="1">
      <c r="A69" s="4"/>
      <c r="B69" s="280"/>
      <c r="C69" s="6"/>
      <c r="D69" s="6"/>
      <c r="E69" s="6" t="s">
        <v>301</v>
      </c>
      <c r="F69" s="30">
        <v>22.22222222222222</v>
      </c>
      <c r="G69" s="127">
        <v>53.84615384615385</v>
      </c>
      <c r="H69" s="8" t="s">
        <v>184</v>
      </c>
      <c r="I69" s="127"/>
      <c r="J69" s="8"/>
      <c r="K69" s="8"/>
      <c r="L69" s="8"/>
      <c r="M69" s="8"/>
    </row>
    <row r="70" spans="1:13" ht="21" customHeight="1">
      <c r="A70" s="9" t="s">
        <v>189</v>
      </c>
      <c r="B70" s="279" t="s">
        <v>486</v>
      </c>
      <c r="C70" s="118" t="s">
        <v>303</v>
      </c>
      <c r="D70" s="118">
        <v>2.5</v>
      </c>
      <c r="E70" s="12" t="s">
        <v>300</v>
      </c>
      <c r="F70" s="13"/>
      <c r="G70" s="13"/>
      <c r="H70" s="13"/>
      <c r="I70" s="105">
        <v>8</v>
      </c>
      <c r="J70" s="105">
        <v>8</v>
      </c>
      <c r="K70" s="105">
        <v>10</v>
      </c>
      <c r="L70" s="105">
        <v>10</v>
      </c>
      <c r="M70" s="218" t="s">
        <v>167</v>
      </c>
    </row>
    <row r="71" spans="1:13" ht="21">
      <c r="A71" s="4"/>
      <c r="B71" s="280"/>
      <c r="C71" s="6"/>
      <c r="D71" s="6"/>
      <c r="E71" s="6" t="s">
        <v>301</v>
      </c>
      <c r="F71" s="170">
        <f>1/26*100</f>
        <v>3.8461538461538463</v>
      </c>
      <c r="G71" s="169">
        <f>1/25*100</f>
        <v>4</v>
      </c>
      <c r="H71" s="169">
        <f>2/25*100</f>
        <v>8</v>
      </c>
      <c r="I71" s="49"/>
      <c r="J71" s="8"/>
      <c r="K71" s="8"/>
      <c r="L71" s="8"/>
      <c r="M71" s="8"/>
    </row>
    <row r="72" spans="1:13" ht="21">
      <c r="A72" s="9" t="s">
        <v>191</v>
      </c>
      <c r="B72" s="279" t="s">
        <v>487</v>
      </c>
      <c r="C72" s="118" t="s">
        <v>303</v>
      </c>
      <c r="D72" s="118"/>
      <c r="E72" s="12" t="s">
        <v>300</v>
      </c>
      <c r="F72" s="130"/>
      <c r="G72" s="130"/>
      <c r="H72" s="130"/>
      <c r="I72" s="130"/>
      <c r="J72" s="130"/>
      <c r="K72" s="130"/>
      <c r="L72" s="130"/>
      <c r="M72" s="130"/>
    </row>
    <row r="73" spans="1:13" ht="21">
      <c r="A73" s="4"/>
      <c r="B73" s="280"/>
      <c r="C73" s="6"/>
      <c r="D73" s="6"/>
      <c r="E73" s="6" t="s">
        <v>301</v>
      </c>
      <c r="F73" s="134"/>
      <c r="G73" s="134"/>
      <c r="H73" s="134"/>
      <c r="I73" s="134"/>
      <c r="J73" s="134"/>
      <c r="K73" s="134"/>
      <c r="L73" s="134"/>
      <c r="M73" s="134"/>
    </row>
    <row r="74" spans="1:13" ht="21">
      <c r="A74" s="119" t="s">
        <v>199</v>
      </c>
      <c r="B74" s="279" t="s">
        <v>488</v>
      </c>
      <c r="C74" s="120" t="s">
        <v>303</v>
      </c>
      <c r="D74" s="120"/>
      <c r="E74" s="12" t="s">
        <v>300</v>
      </c>
      <c r="F74" s="13"/>
      <c r="G74" s="13"/>
      <c r="H74" s="13"/>
      <c r="I74" s="13"/>
      <c r="J74" s="13"/>
      <c r="K74" s="13"/>
      <c r="L74" s="13"/>
      <c r="M74" s="136"/>
    </row>
    <row r="75" spans="1:13" ht="21">
      <c r="A75" s="18"/>
      <c r="B75" s="281"/>
      <c r="C75" s="20"/>
      <c r="D75" s="20"/>
      <c r="E75" s="20" t="s">
        <v>301</v>
      </c>
      <c r="F75" s="22"/>
      <c r="G75" s="22"/>
      <c r="H75" s="22"/>
      <c r="I75" s="22"/>
      <c r="J75" s="22"/>
      <c r="K75" s="22"/>
      <c r="L75" s="22"/>
      <c r="M75" s="22"/>
    </row>
    <row r="76" spans="1:13" ht="21">
      <c r="A76" s="115" t="s">
        <v>209</v>
      </c>
      <c r="B76" s="116"/>
      <c r="C76" s="117"/>
      <c r="D76" s="117">
        <v>12.25</v>
      </c>
      <c r="E76" s="117"/>
      <c r="F76" s="117"/>
      <c r="G76" s="117"/>
      <c r="H76" s="117"/>
      <c r="I76" s="117"/>
      <c r="J76" s="117"/>
      <c r="K76" s="117"/>
      <c r="L76" s="117"/>
      <c r="M76" s="117"/>
    </row>
    <row r="77" spans="1:13" ht="21" customHeight="1">
      <c r="A77" s="9" t="s">
        <v>210</v>
      </c>
      <c r="B77" s="282" t="s">
        <v>489</v>
      </c>
      <c r="C77" s="118" t="s">
        <v>315</v>
      </c>
      <c r="D77" s="118">
        <v>1.53</v>
      </c>
      <c r="E77" s="6" t="s">
        <v>300</v>
      </c>
      <c r="F77" s="140"/>
      <c r="G77" s="140"/>
      <c r="H77" s="140"/>
      <c r="I77" s="8">
        <v>4</v>
      </c>
      <c r="J77" s="8">
        <v>4</v>
      </c>
      <c r="K77" s="8">
        <v>4</v>
      </c>
      <c r="L77" s="8">
        <v>4</v>
      </c>
      <c r="M77" s="8">
        <v>4</v>
      </c>
    </row>
    <row r="78" spans="1:13" ht="21">
      <c r="A78" s="4"/>
      <c r="B78" s="280"/>
      <c r="C78" s="6"/>
      <c r="D78" s="6"/>
      <c r="E78" s="6" t="s">
        <v>301</v>
      </c>
      <c r="F78" s="8"/>
      <c r="G78" s="8"/>
      <c r="H78" s="8"/>
      <c r="I78" s="134"/>
      <c r="J78" s="134"/>
      <c r="K78" s="134"/>
      <c r="L78" s="134"/>
      <c r="M78" s="134"/>
    </row>
    <row r="79" spans="1:13" ht="21">
      <c r="A79" s="9" t="s">
        <v>212</v>
      </c>
      <c r="B79" s="279" t="s">
        <v>490</v>
      </c>
      <c r="C79" s="118" t="s">
        <v>299</v>
      </c>
      <c r="D79" s="118">
        <v>1.53</v>
      </c>
      <c r="E79" s="12" t="s">
        <v>300</v>
      </c>
      <c r="F79" s="130"/>
      <c r="G79" s="130"/>
      <c r="H79" s="130"/>
      <c r="I79" s="14">
        <v>3</v>
      </c>
      <c r="J79" s="14">
        <v>3</v>
      </c>
      <c r="K79" s="14">
        <v>3</v>
      </c>
      <c r="L79" s="14">
        <v>3</v>
      </c>
      <c r="M79" s="14">
        <v>3</v>
      </c>
    </row>
    <row r="80" spans="1:13" ht="21">
      <c r="A80" s="4"/>
      <c r="B80" s="280"/>
      <c r="C80" s="6"/>
      <c r="D80" s="6"/>
      <c r="E80" s="6" t="s">
        <v>301</v>
      </c>
      <c r="F80" s="8"/>
      <c r="G80" s="8"/>
      <c r="H80" s="8"/>
      <c r="I80" s="134"/>
      <c r="J80" s="134"/>
      <c r="K80" s="134"/>
      <c r="L80" s="134"/>
      <c r="M80" s="134"/>
    </row>
    <row r="81" spans="1:13" ht="21" customHeight="1">
      <c r="A81" s="9" t="s">
        <v>216</v>
      </c>
      <c r="B81" s="279" t="s">
        <v>491</v>
      </c>
      <c r="C81" s="118" t="s">
        <v>299</v>
      </c>
      <c r="D81" s="118">
        <v>1.53</v>
      </c>
      <c r="E81" s="12" t="s">
        <v>300</v>
      </c>
      <c r="F81" s="130"/>
      <c r="G81" s="130"/>
      <c r="H81" s="130"/>
      <c r="I81" s="14">
        <v>4</v>
      </c>
      <c r="J81" s="14">
        <v>4</v>
      </c>
      <c r="K81" s="14">
        <v>4</v>
      </c>
      <c r="L81" s="14">
        <v>4</v>
      </c>
      <c r="M81" s="14">
        <v>4</v>
      </c>
    </row>
    <row r="82" spans="1:13" ht="21">
      <c r="A82" s="4"/>
      <c r="B82" s="280"/>
      <c r="C82" s="6"/>
      <c r="D82" s="6"/>
      <c r="E82" s="6" t="s">
        <v>301</v>
      </c>
      <c r="F82" s="8"/>
      <c r="G82" s="8"/>
      <c r="H82" s="8"/>
      <c r="I82" s="134"/>
      <c r="J82" s="134"/>
      <c r="K82" s="134"/>
      <c r="L82" s="134"/>
      <c r="M82" s="134"/>
    </row>
    <row r="83" spans="1:13" ht="21">
      <c r="A83" s="9" t="s">
        <v>225</v>
      </c>
      <c r="B83" s="279" t="s">
        <v>492</v>
      </c>
      <c r="C83" s="118" t="s">
        <v>299</v>
      </c>
      <c r="D83" s="118">
        <v>1.53</v>
      </c>
      <c r="E83" s="12" t="s">
        <v>300</v>
      </c>
      <c r="F83" s="130"/>
      <c r="G83" s="130"/>
      <c r="H83" s="130"/>
      <c r="I83" s="102">
        <v>4</v>
      </c>
      <c r="J83" s="102">
        <v>4</v>
      </c>
      <c r="K83" s="102">
        <v>4</v>
      </c>
      <c r="L83" s="102">
        <v>4</v>
      </c>
      <c r="M83" s="102">
        <v>4</v>
      </c>
    </row>
    <row r="84" spans="1:13" ht="21">
      <c r="A84" s="4"/>
      <c r="B84" s="280"/>
      <c r="C84" s="6"/>
      <c r="D84" s="6"/>
      <c r="E84" s="6" t="s">
        <v>301</v>
      </c>
      <c r="F84" s="8"/>
      <c r="G84" s="8"/>
      <c r="H84" s="8"/>
      <c r="I84" s="134"/>
      <c r="J84" s="134"/>
      <c r="K84" s="134"/>
      <c r="L84" s="134"/>
      <c r="M84" s="134"/>
    </row>
    <row r="85" spans="1:13" ht="21" customHeight="1">
      <c r="A85" s="9" t="s">
        <v>229</v>
      </c>
      <c r="B85" s="279" t="s">
        <v>493</v>
      </c>
      <c r="C85" s="118" t="s">
        <v>303</v>
      </c>
      <c r="D85" s="118">
        <v>1.54</v>
      </c>
      <c r="E85" s="12" t="s">
        <v>300</v>
      </c>
      <c r="F85" s="13"/>
      <c r="G85" s="13"/>
      <c r="H85" s="13"/>
      <c r="I85" s="14">
        <v>65</v>
      </c>
      <c r="J85" s="14">
        <v>65</v>
      </c>
      <c r="K85" s="14">
        <v>70</v>
      </c>
      <c r="L85" s="14">
        <v>70</v>
      </c>
      <c r="M85" s="15" t="s">
        <v>140</v>
      </c>
    </row>
    <row r="86" spans="1:13" ht="21" customHeight="1">
      <c r="A86" s="4"/>
      <c r="B86" s="280"/>
      <c r="C86" s="6"/>
      <c r="D86" s="6"/>
      <c r="E86" s="6" t="s">
        <v>301</v>
      </c>
      <c r="F86" s="30">
        <v>19.230769230769234</v>
      </c>
      <c r="G86" s="30">
        <v>44</v>
      </c>
      <c r="H86" s="30">
        <v>56</v>
      </c>
      <c r="I86" s="30"/>
      <c r="J86" s="8"/>
      <c r="K86" s="8"/>
      <c r="L86" s="8"/>
      <c r="M86" s="8"/>
    </row>
    <row r="87" spans="1:13" ht="21" customHeight="1">
      <c r="A87" s="9" t="s">
        <v>231</v>
      </c>
      <c r="B87" s="279" t="s">
        <v>494</v>
      </c>
      <c r="C87" s="118" t="s">
        <v>348</v>
      </c>
      <c r="D87" s="118">
        <v>1.53</v>
      </c>
      <c r="E87" s="12" t="s">
        <v>300</v>
      </c>
      <c r="F87" s="13"/>
      <c r="G87" s="13"/>
      <c r="H87" s="13"/>
      <c r="I87" s="295">
        <v>10000</v>
      </c>
      <c r="J87" s="295">
        <v>10000</v>
      </c>
      <c r="K87" s="295">
        <v>10000</v>
      </c>
      <c r="L87" s="295">
        <v>10000</v>
      </c>
      <c r="M87" s="295">
        <v>10000</v>
      </c>
    </row>
    <row r="88" spans="1:13" ht="21">
      <c r="A88" s="4"/>
      <c r="B88" s="280"/>
      <c r="C88" s="6"/>
      <c r="D88" s="6"/>
      <c r="E88" s="6" t="s">
        <v>301</v>
      </c>
      <c r="F88" s="31">
        <v>10258.918148148148</v>
      </c>
      <c r="G88" s="31">
        <v>5210.676923076923</v>
      </c>
      <c r="H88" s="31">
        <v>20144.341153846155</v>
      </c>
      <c r="I88" s="133"/>
      <c r="J88" s="8"/>
      <c r="K88" s="8"/>
      <c r="L88" s="8"/>
      <c r="M88" s="8"/>
    </row>
    <row r="89" spans="1:13" ht="21" customHeight="1">
      <c r="A89" s="9" t="s">
        <v>234</v>
      </c>
      <c r="B89" s="279" t="s">
        <v>495</v>
      </c>
      <c r="C89" s="118" t="s">
        <v>303</v>
      </c>
      <c r="D89" s="118">
        <v>1.53</v>
      </c>
      <c r="E89" s="12" t="s">
        <v>300</v>
      </c>
      <c r="F89" s="13"/>
      <c r="G89" s="13"/>
      <c r="H89" s="13"/>
      <c r="I89" s="14">
        <v>100</v>
      </c>
      <c r="J89" s="14">
        <v>100</v>
      </c>
      <c r="K89" s="14">
        <v>100</v>
      </c>
      <c r="L89" s="14">
        <v>100</v>
      </c>
      <c r="M89" s="14">
        <v>100</v>
      </c>
    </row>
    <row r="90" spans="1:13" ht="21">
      <c r="A90" s="4"/>
      <c r="B90" s="280"/>
      <c r="C90" s="6"/>
      <c r="D90" s="6"/>
      <c r="E90" s="6" t="s">
        <v>301</v>
      </c>
      <c r="F90" s="8">
        <v>100</v>
      </c>
      <c r="G90" s="8">
        <v>100</v>
      </c>
      <c r="H90" s="8">
        <v>100</v>
      </c>
      <c r="I90" s="8"/>
      <c r="J90" s="8"/>
      <c r="K90" s="8"/>
      <c r="L90" s="8"/>
      <c r="M90" s="8"/>
    </row>
    <row r="91" spans="1:13" ht="21">
      <c r="A91" s="9" t="s">
        <v>236</v>
      </c>
      <c r="B91" s="279" t="s">
        <v>496</v>
      </c>
      <c r="C91" s="118" t="s">
        <v>299</v>
      </c>
      <c r="D91" s="118">
        <v>1.53</v>
      </c>
      <c r="E91" s="12" t="s">
        <v>300</v>
      </c>
      <c r="F91" s="130"/>
      <c r="G91" s="130"/>
      <c r="H91" s="130"/>
      <c r="I91" s="14">
        <v>3</v>
      </c>
      <c r="J91" s="14">
        <v>3</v>
      </c>
      <c r="K91" s="14">
        <v>3</v>
      </c>
      <c r="L91" s="14">
        <v>3</v>
      </c>
      <c r="M91" s="14">
        <v>3</v>
      </c>
    </row>
    <row r="92" spans="1:13" ht="21">
      <c r="A92" s="4"/>
      <c r="B92" s="280"/>
      <c r="C92" s="6"/>
      <c r="D92" s="6"/>
      <c r="E92" s="6" t="s">
        <v>301</v>
      </c>
      <c r="F92" s="8"/>
      <c r="G92" s="8"/>
      <c r="H92" s="8"/>
      <c r="I92" s="134"/>
      <c r="J92" s="134"/>
      <c r="K92" s="134"/>
      <c r="L92" s="134"/>
      <c r="M92" s="134"/>
    </row>
    <row r="93" spans="1:13" ht="21">
      <c r="A93" s="119" t="s">
        <v>401</v>
      </c>
      <c r="B93" s="279" t="s">
        <v>497</v>
      </c>
      <c r="C93" s="120" t="s">
        <v>403</v>
      </c>
      <c r="D93" s="120"/>
      <c r="E93" s="12" t="s">
        <v>300</v>
      </c>
      <c r="F93" s="130"/>
      <c r="G93" s="130"/>
      <c r="H93" s="130"/>
      <c r="I93" s="130"/>
      <c r="J93" s="130"/>
      <c r="K93" s="130"/>
      <c r="L93" s="130"/>
      <c r="M93" s="130"/>
    </row>
    <row r="94" spans="1:13" ht="21">
      <c r="A94" s="18"/>
      <c r="B94" s="281"/>
      <c r="C94" s="20"/>
      <c r="D94" s="20"/>
      <c r="E94" s="20" t="s">
        <v>301</v>
      </c>
      <c r="F94" s="131"/>
      <c r="G94" s="131"/>
      <c r="H94" s="131"/>
      <c r="I94" s="131"/>
      <c r="J94" s="131"/>
      <c r="K94" s="131"/>
      <c r="L94" s="131"/>
      <c r="M94" s="131"/>
    </row>
    <row r="95" spans="1:13" ht="21">
      <c r="A95" s="115" t="s">
        <v>251</v>
      </c>
      <c r="B95" s="116"/>
      <c r="C95" s="117"/>
      <c r="D95" s="117">
        <v>0</v>
      </c>
      <c r="E95" s="117"/>
      <c r="F95" s="117"/>
      <c r="G95" s="117"/>
      <c r="H95" s="117"/>
      <c r="I95" s="117"/>
      <c r="J95" s="117"/>
      <c r="K95" s="117"/>
      <c r="L95" s="117"/>
      <c r="M95" s="117"/>
    </row>
    <row r="96" spans="1:13" ht="21">
      <c r="A96" s="9" t="s">
        <v>258</v>
      </c>
      <c r="B96" s="282" t="s">
        <v>498</v>
      </c>
      <c r="C96" s="118" t="s">
        <v>299</v>
      </c>
      <c r="D96" s="118"/>
      <c r="E96" s="6" t="s">
        <v>300</v>
      </c>
      <c r="F96" s="140"/>
      <c r="G96" s="140"/>
      <c r="H96" s="140"/>
      <c r="I96" s="140"/>
      <c r="J96" s="140"/>
      <c r="K96" s="140"/>
      <c r="L96" s="140"/>
      <c r="M96" s="140"/>
    </row>
    <row r="97" spans="1:13" ht="21">
      <c r="A97" s="18"/>
      <c r="B97" s="281"/>
      <c r="C97" s="20"/>
      <c r="D97" s="20"/>
      <c r="E97" s="20" t="s">
        <v>301</v>
      </c>
      <c r="F97" s="131"/>
      <c r="G97" s="131"/>
      <c r="H97" s="131"/>
      <c r="I97" s="131"/>
      <c r="J97" s="131"/>
      <c r="K97" s="131"/>
      <c r="L97" s="131"/>
      <c r="M97" s="131"/>
    </row>
    <row r="98" ht="21">
      <c r="A98" s="137" t="s">
        <v>448</v>
      </c>
    </row>
    <row r="99" spans="1:2" ht="21">
      <c r="A99" s="139" t="s">
        <v>449</v>
      </c>
      <c r="B99" t="s">
        <v>450</v>
      </c>
    </row>
    <row r="100" spans="1:2" ht="21">
      <c r="A100" s="139" t="s">
        <v>451</v>
      </c>
      <c r="B100" t="s">
        <v>452</v>
      </c>
    </row>
    <row r="101" spans="1:2" ht="21">
      <c r="A101" s="139" t="s">
        <v>453</v>
      </c>
      <c r="B101" t="s">
        <v>454</v>
      </c>
    </row>
    <row r="102" spans="1:2" ht="21">
      <c r="A102" s="139" t="s">
        <v>455</v>
      </c>
      <c r="B102" t="s">
        <v>456</v>
      </c>
    </row>
  </sheetData>
  <mergeCells count="48">
    <mergeCell ref="B77:B78"/>
    <mergeCell ref="B70:B71"/>
    <mergeCell ref="B72:B73"/>
    <mergeCell ref="B74:B75"/>
    <mergeCell ref="B96:B97"/>
    <mergeCell ref="B43:B44"/>
    <mergeCell ref="B38:B39"/>
    <mergeCell ref="B40:B41"/>
    <mergeCell ref="B48:B49"/>
    <mergeCell ref="B65:B66"/>
    <mergeCell ref="B68:B69"/>
    <mergeCell ref="B89:B90"/>
    <mergeCell ref="B45:B46"/>
    <mergeCell ref="B87:B88"/>
    <mergeCell ref="B85:B86"/>
    <mergeCell ref="B81:B82"/>
    <mergeCell ref="B83:B84"/>
    <mergeCell ref="B5:B6"/>
    <mergeCell ref="B9:B10"/>
    <mergeCell ref="B27:B28"/>
    <mergeCell ref="B11:B12"/>
    <mergeCell ref="B62:B63"/>
    <mergeCell ref="B79:B80"/>
    <mergeCell ref="B30:B31"/>
    <mergeCell ref="B32:B33"/>
    <mergeCell ref="B34:B35"/>
    <mergeCell ref="B36:B37"/>
    <mergeCell ref="A2:B3"/>
    <mergeCell ref="I2:M2"/>
    <mergeCell ref="F2:H2"/>
    <mergeCell ref="C2:C3"/>
    <mergeCell ref="D2:D3"/>
    <mergeCell ref="E2:E3"/>
    <mergeCell ref="B58:B59"/>
    <mergeCell ref="B60:B61"/>
    <mergeCell ref="B50:B51"/>
    <mergeCell ref="B52:B53"/>
    <mergeCell ref="B54:B55"/>
    <mergeCell ref="B91:B92"/>
    <mergeCell ref="B93:B94"/>
    <mergeCell ref="B13:B14"/>
    <mergeCell ref="B15:B16"/>
    <mergeCell ref="B17:B18"/>
    <mergeCell ref="B19:B20"/>
    <mergeCell ref="B21:B22"/>
    <mergeCell ref="B23:B24"/>
    <mergeCell ref="B25:B26"/>
    <mergeCell ref="B56:B57"/>
  </mergeCells>
  <printOptions horizontalCentered="1"/>
  <pageMargins left="0.5905511811023623" right="0.1968503937007874" top="0.984251968503937" bottom="0.984251968503937" header="0.5118110236220472" footer="0.5118110236220472"/>
  <pageSetup fitToHeight="0" horizontalDpi="600" verticalDpi="600" orientation="landscape" paperSize="9" scale="75" r:id="rId1"/>
  <headerFooter alignWithMargins="0">
    <oddFooter>&amp;L&amp;F&amp;R&amp;A 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4">
    <tabColor indexed="13"/>
    <pageSetUpPr fitToPage="1"/>
  </sheetPr>
  <dimension ref="A1:M102"/>
  <sheetViews>
    <sheetView zoomScale="88" zoomScaleNormal="88" workbookViewId="0" topLeftCell="A1">
      <pane xSplit="3" ySplit="3" topLeftCell="D4" activePane="bottomRight" state="frozen"/>
      <selection pane="topLeft" activeCell="D4" sqref="D4"/>
      <selection pane="topRight" activeCell="D4" sqref="D4"/>
      <selection pane="bottomLeft" activeCell="D4" sqref="D4"/>
      <selection pane="bottomRight" activeCell="B4" sqref="B4"/>
    </sheetView>
  </sheetViews>
  <sheetFormatPr defaultColWidth="9.33203125" defaultRowHeight="21"/>
  <cols>
    <col min="1" max="1" width="7.33203125" style="137" customWidth="1"/>
    <col min="2" max="2" width="83.83203125" style="0" customWidth="1"/>
    <col min="3" max="5" width="10.33203125" style="138" customWidth="1"/>
    <col min="6" max="8" width="10.16015625" style="54" bestFit="1" customWidth="1"/>
    <col min="9" max="13" width="11" style="54" customWidth="1"/>
  </cols>
  <sheetData>
    <row r="1" spans="1:13" ht="23.25">
      <c r="A1" s="112" t="s">
        <v>499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</row>
    <row r="2" spans="1:13" ht="25.5" customHeight="1">
      <c r="A2" s="274" t="s">
        <v>294</v>
      </c>
      <c r="B2" s="275"/>
      <c r="C2" s="272" t="s">
        <v>295</v>
      </c>
      <c r="D2" s="272" t="s">
        <v>296</v>
      </c>
      <c r="E2" s="272" t="s">
        <v>297</v>
      </c>
      <c r="F2" s="271" t="s">
        <v>3</v>
      </c>
      <c r="G2" s="271"/>
      <c r="H2" s="271"/>
      <c r="I2" s="271" t="s">
        <v>4</v>
      </c>
      <c r="J2" s="271"/>
      <c r="K2" s="271"/>
      <c r="L2" s="271"/>
      <c r="M2" s="271"/>
    </row>
    <row r="3" spans="1:13" ht="25.5" customHeight="1">
      <c r="A3" s="276"/>
      <c r="B3" s="277"/>
      <c r="C3" s="273"/>
      <c r="D3" s="273"/>
      <c r="E3" s="273"/>
      <c r="F3" s="114">
        <v>2547</v>
      </c>
      <c r="G3" s="114">
        <v>2548</v>
      </c>
      <c r="H3" s="114">
        <v>2549</v>
      </c>
      <c r="I3" s="114">
        <v>2550</v>
      </c>
      <c r="J3" s="114">
        <v>2551</v>
      </c>
      <c r="K3" s="114">
        <v>2552</v>
      </c>
      <c r="L3" s="114">
        <v>2553</v>
      </c>
      <c r="M3" s="114">
        <v>2554</v>
      </c>
    </row>
    <row r="4" spans="1:13" ht="21">
      <c r="A4" s="115" t="s">
        <v>5</v>
      </c>
      <c r="B4" s="116"/>
      <c r="C4" s="117"/>
      <c r="D4" s="117">
        <v>6.67</v>
      </c>
      <c r="E4" s="117"/>
      <c r="F4" s="117"/>
      <c r="G4" s="117"/>
      <c r="H4" s="117"/>
      <c r="I4" s="117"/>
      <c r="J4" s="117"/>
      <c r="K4" s="117"/>
      <c r="L4" s="117"/>
      <c r="M4" s="117"/>
    </row>
    <row r="5" spans="1:13" ht="21">
      <c r="A5" s="9" t="s">
        <v>9</v>
      </c>
      <c r="B5" s="283" t="s">
        <v>458</v>
      </c>
      <c r="C5" s="118" t="s">
        <v>303</v>
      </c>
      <c r="D5" s="118">
        <v>6.67</v>
      </c>
      <c r="E5" s="6" t="s">
        <v>300</v>
      </c>
      <c r="F5" s="7"/>
      <c r="G5" s="7"/>
      <c r="H5" s="7"/>
      <c r="I5" s="8">
        <v>90</v>
      </c>
      <c r="J5" s="8">
        <v>90</v>
      </c>
      <c r="K5" s="8">
        <v>90</v>
      </c>
      <c r="L5" s="8">
        <v>90</v>
      </c>
      <c r="M5" s="24" t="s">
        <v>14</v>
      </c>
    </row>
    <row r="6" spans="1:13" ht="21">
      <c r="A6" s="18"/>
      <c r="B6" s="278"/>
      <c r="C6" s="20"/>
      <c r="D6" s="20"/>
      <c r="E6" s="20" t="s">
        <v>301</v>
      </c>
      <c r="F6" s="22"/>
      <c r="G6" s="22"/>
      <c r="H6" s="22"/>
      <c r="I6" s="51"/>
      <c r="J6" s="22"/>
      <c r="K6" s="22"/>
      <c r="L6" s="22"/>
      <c r="M6" s="22"/>
    </row>
    <row r="7" spans="1:13" ht="21">
      <c r="A7" s="115" t="s">
        <v>31</v>
      </c>
      <c r="B7" s="116"/>
      <c r="C7" s="117"/>
      <c r="D7" s="117">
        <v>26.63</v>
      </c>
      <c r="E7" s="117"/>
      <c r="F7" s="117"/>
      <c r="G7" s="117"/>
      <c r="H7" s="117"/>
      <c r="I7" s="117"/>
      <c r="J7" s="117"/>
      <c r="K7" s="117"/>
      <c r="L7" s="117"/>
      <c r="M7" s="117"/>
    </row>
    <row r="8" spans="1:13" ht="21">
      <c r="A8" s="122" t="s">
        <v>305</v>
      </c>
      <c r="B8" s="123"/>
      <c r="C8" s="124"/>
      <c r="D8" s="124">
        <v>13.31</v>
      </c>
      <c r="E8" s="124"/>
      <c r="F8" s="124"/>
      <c r="G8" s="124"/>
      <c r="H8" s="124"/>
      <c r="I8" s="124"/>
      <c r="J8" s="124"/>
      <c r="K8" s="124"/>
      <c r="L8" s="124"/>
      <c r="M8" s="124"/>
    </row>
    <row r="9" spans="1:13" ht="21">
      <c r="A9" s="9" t="s">
        <v>32</v>
      </c>
      <c r="B9" s="270" t="s">
        <v>459</v>
      </c>
      <c r="C9" s="118" t="s">
        <v>315</v>
      </c>
      <c r="D9" s="118">
        <v>1.66</v>
      </c>
      <c r="E9" s="6" t="s">
        <v>300</v>
      </c>
      <c r="F9" s="140"/>
      <c r="G9" s="140"/>
      <c r="H9" s="140"/>
      <c r="I9" s="8">
        <v>6</v>
      </c>
      <c r="J9" s="8">
        <v>6</v>
      </c>
      <c r="K9" s="8">
        <v>6</v>
      </c>
      <c r="L9" s="8">
        <v>6</v>
      </c>
      <c r="M9" s="8">
        <v>6</v>
      </c>
    </row>
    <row r="10" spans="1:13" ht="21">
      <c r="A10" s="4"/>
      <c r="B10" s="269"/>
      <c r="C10" s="6"/>
      <c r="D10" s="6"/>
      <c r="E10" s="6" t="s">
        <v>301</v>
      </c>
      <c r="F10" s="8"/>
      <c r="G10" s="8"/>
      <c r="H10" s="8"/>
      <c r="I10" s="134"/>
      <c r="J10" s="134"/>
      <c r="K10" s="134"/>
      <c r="L10" s="134"/>
      <c r="M10" s="134"/>
    </row>
    <row r="11" spans="1:13" ht="21">
      <c r="A11" s="9" t="s">
        <v>36</v>
      </c>
      <c r="B11" s="268" t="s">
        <v>460</v>
      </c>
      <c r="C11" s="118" t="s">
        <v>315</v>
      </c>
      <c r="D11" s="118">
        <v>1.66</v>
      </c>
      <c r="E11" s="12" t="s">
        <v>300</v>
      </c>
      <c r="F11" s="13"/>
      <c r="G11" s="13"/>
      <c r="H11" s="13"/>
      <c r="I11" s="102">
        <v>6</v>
      </c>
      <c r="J11" s="102">
        <v>6</v>
      </c>
      <c r="K11" s="102">
        <v>6</v>
      </c>
      <c r="L11" s="102">
        <v>6</v>
      </c>
      <c r="M11" s="102">
        <v>6</v>
      </c>
    </row>
    <row r="12" spans="1:13" ht="21">
      <c r="A12" s="4"/>
      <c r="B12" s="269"/>
      <c r="C12" s="6"/>
      <c r="D12" s="6"/>
      <c r="E12" s="6" t="s">
        <v>301</v>
      </c>
      <c r="F12" s="8">
        <v>7</v>
      </c>
      <c r="G12" s="8">
        <v>7</v>
      </c>
      <c r="H12" s="8">
        <v>7</v>
      </c>
      <c r="I12" s="8"/>
      <c r="J12" s="8"/>
      <c r="K12" s="8"/>
      <c r="L12" s="8"/>
      <c r="M12" s="8"/>
    </row>
    <row r="13" spans="1:13" ht="21">
      <c r="A13" s="9" t="s">
        <v>42</v>
      </c>
      <c r="B13" s="268" t="s">
        <v>461</v>
      </c>
      <c r="C13" s="118" t="s">
        <v>303</v>
      </c>
      <c r="D13" s="118">
        <v>1.66</v>
      </c>
      <c r="E13" s="12" t="s">
        <v>300</v>
      </c>
      <c r="F13" s="13"/>
      <c r="G13" s="13"/>
      <c r="H13" s="13"/>
      <c r="I13" s="14">
        <v>-40</v>
      </c>
      <c r="J13" s="14">
        <v>-40</v>
      </c>
      <c r="K13" s="14">
        <v>-35</v>
      </c>
      <c r="L13" s="14">
        <v>-35</v>
      </c>
      <c r="M13" s="14">
        <v>-35</v>
      </c>
    </row>
    <row r="14" spans="1:13" ht="21">
      <c r="A14" s="4"/>
      <c r="B14" s="269"/>
      <c r="C14" s="6"/>
      <c r="D14" s="6"/>
      <c r="E14" s="6" t="s">
        <v>301</v>
      </c>
      <c r="F14" s="8">
        <v>-49.45</v>
      </c>
      <c r="G14" s="49">
        <v>-43.7</v>
      </c>
      <c r="H14" s="49">
        <v>-54.55</v>
      </c>
      <c r="I14" s="24"/>
      <c r="J14" s="24"/>
      <c r="K14" s="24"/>
      <c r="L14" s="24"/>
      <c r="M14" s="24" t="s">
        <v>56</v>
      </c>
    </row>
    <row r="15" spans="1:13" ht="21">
      <c r="A15" s="9" t="s">
        <v>46</v>
      </c>
      <c r="B15" s="268" t="s">
        <v>462</v>
      </c>
      <c r="C15" s="118" t="s">
        <v>303</v>
      </c>
      <c r="D15" s="118">
        <v>1.66</v>
      </c>
      <c r="E15" s="12" t="s">
        <v>300</v>
      </c>
      <c r="F15" s="130"/>
      <c r="G15" s="130"/>
      <c r="H15" s="130"/>
      <c r="I15" s="24" t="s">
        <v>53</v>
      </c>
      <c r="J15" s="24" t="s">
        <v>53</v>
      </c>
      <c r="K15" s="246" t="s">
        <v>53</v>
      </c>
      <c r="L15" s="24" t="s">
        <v>279</v>
      </c>
      <c r="M15" s="24" t="s">
        <v>56</v>
      </c>
    </row>
    <row r="16" spans="1:13" ht="21">
      <c r="A16" s="4"/>
      <c r="B16" s="269"/>
      <c r="C16" s="6"/>
      <c r="D16" s="6"/>
      <c r="E16" s="6" t="s">
        <v>301</v>
      </c>
      <c r="F16" s="8" t="s">
        <v>293</v>
      </c>
      <c r="G16" s="8" t="s">
        <v>519</v>
      </c>
      <c r="H16" s="49" t="s">
        <v>293</v>
      </c>
      <c r="I16" s="24"/>
      <c r="J16" s="24"/>
      <c r="K16" s="24"/>
      <c r="L16" s="24"/>
      <c r="M16" s="24"/>
    </row>
    <row r="17" spans="1:13" ht="21">
      <c r="A17" s="9" t="s">
        <v>67</v>
      </c>
      <c r="B17" s="268" t="s">
        <v>463</v>
      </c>
      <c r="C17" s="118" t="s">
        <v>303</v>
      </c>
      <c r="D17" s="118">
        <v>1.66</v>
      </c>
      <c r="E17" s="12" t="s">
        <v>300</v>
      </c>
      <c r="F17" s="130"/>
      <c r="G17" s="130"/>
      <c r="H17" s="130"/>
      <c r="I17" s="246" t="s">
        <v>285</v>
      </c>
      <c r="J17" s="246" t="s">
        <v>285</v>
      </c>
      <c r="K17" s="246" t="s">
        <v>285</v>
      </c>
      <c r="L17" s="24" t="s">
        <v>286</v>
      </c>
      <c r="M17" s="24" t="s">
        <v>287</v>
      </c>
    </row>
    <row r="18" spans="1:13" ht="21">
      <c r="A18" s="4"/>
      <c r="B18" s="269"/>
      <c r="C18" s="6"/>
      <c r="D18" s="6"/>
      <c r="E18" s="6" t="s">
        <v>301</v>
      </c>
      <c r="F18" s="8" t="s">
        <v>69</v>
      </c>
      <c r="G18" s="8" t="s">
        <v>526</v>
      </c>
      <c r="H18" s="49" t="s">
        <v>285</v>
      </c>
      <c r="I18" s="134"/>
      <c r="J18" s="134"/>
      <c r="K18" s="134"/>
      <c r="L18" s="134"/>
      <c r="M18" s="134"/>
    </row>
    <row r="19" spans="1:13" ht="21">
      <c r="A19" s="9" t="s">
        <v>87</v>
      </c>
      <c r="B19" s="268" t="s">
        <v>464</v>
      </c>
      <c r="C19" s="118" t="s">
        <v>315</v>
      </c>
      <c r="D19" s="118"/>
      <c r="E19" s="12" t="s">
        <v>300</v>
      </c>
      <c r="F19" s="130"/>
      <c r="G19" s="130"/>
      <c r="H19" s="130"/>
      <c r="I19" s="130"/>
      <c r="J19" s="130"/>
      <c r="K19" s="130"/>
      <c r="L19" s="130"/>
      <c r="M19" s="130"/>
    </row>
    <row r="20" spans="1:13" ht="21">
      <c r="A20" s="4"/>
      <c r="B20" s="269"/>
      <c r="C20" s="6"/>
      <c r="D20" s="6"/>
      <c r="E20" s="6" t="s">
        <v>301</v>
      </c>
      <c r="F20" s="134"/>
      <c r="G20" s="134"/>
      <c r="H20" s="134"/>
      <c r="I20" s="134"/>
      <c r="J20" s="134"/>
      <c r="K20" s="134"/>
      <c r="L20" s="134"/>
      <c r="M20" s="134"/>
    </row>
    <row r="21" spans="1:13" ht="21">
      <c r="A21" s="9" t="s">
        <v>96</v>
      </c>
      <c r="B21" s="268" t="s">
        <v>465</v>
      </c>
      <c r="C21" s="118" t="s">
        <v>303</v>
      </c>
      <c r="D21" s="118">
        <v>1.67</v>
      </c>
      <c r="E21" s="12" t="s">
        <v>300</v>
      </c>
      <c r="F21" s="13"/>
      <c r="G21" s="13"/>
      <c r="H21" s="13"/>
      <c r="I21" s="14">
        <v>100</v>
      </c>
      <c r="J21" s="14">
        <v>100</v>
      </c>
      <c r="K21" s="14">
        <v>100</v>
      </c>
      <c r="L21" s="14">
        <v>100</v>
      </c>
      <c r="M21" s="15" t="s">
        <v>98</v>
      </c>
    </row>
    <row r="22" spans="1:13" ht="21">
      <c r="A22" s="4"/>
      <c r="B22" s="269"/>
      <c r="C22" s="6"/>
      <c r="D22" s="6"/>
      <c r="E22" s="6" t="s">
        <v>301</v>
      </c>
      <c r="F22" s="8">
        <v>100</v>
      </c>
      <c r="G22" s="8">
        <v>100</v>
      </c>
      <c r="H22" s="8">
        <v>100</v>
      </c>
      <c r="I22" s="8"/>
      <c r="J22" s="8"/>
      <c r="K22" s="8"/>
      <c r="L22" s="8"/>
      <c r="M22" s="8"/>
    </row>
    <row r="23" spans="1:13" ht="21">
      <c r="A23" s="9" t="s">
        <v>99</v>
      </c>
      <c r="B23" s="268" t="s">
        <v>466</v>
      </c>
      <c r="C23" s="118" t="s">
        <v>299</v>
      </c>
      <c r="D23" s="118">
        <v>1.67</v>
      </c>
      <c r="E23" s="12" t="s">
        <v>300</v>
      </c>
      <c r="F23" s="13"/>
      <c r="G23" s="13"/>
      <c r="H23" s="13"/>
      <c r="I23" s="14">
        <v>4</v>
      </c>
      <c r="J23" s="14">
        <v>4</v>
      </c>
      <c r="K23" s="14">
        <v>4</v>
      </c>
      <c r="L23" s="14">
        <v>4</v>
      </c>
      <c r="M23" s="15" t="s">
        <v>39</v>
      </c>
    </row>
    <row r="24" spans="1:13" ht="21">
      <c r="A24" s="4"/>
      <c r="B24" s="269"/>
      <c r="C24" s="6"/>
      <c r="D24" s="6"/>
      <c r="E24" s="6" t="s">
        <v>301</v>
      </c>
      <c r="F24" s="30">
        <v>4.195</v>
      </c>
      <c r="G24" s="8"/>
      <c r="H24" s="8">
        <v>4.22</v>
      </c>
      <c r="I24" s="8"/>
      <c r="J24" s="8"/>
      <c r="K24" s="8"/>
      <c r="L24" s="8"/>
      <c r="M24" s="8"/>
    </row>
    <row r="25" spans="1:13" ht="21">
      <c r="A25" s="9" t="s">
        <v>105</v>
      </c>
      <c r="B25" s="268" t="s">
        <v>467</v>
      </c>
      <c r="C25" s="118" t="s">
        <v>325</v>
      </c>
      <c r="D25" s="118"/>
      <c r="E25" s="12" t="s">
        <v>300</v>
      </c>
      <c r="F25" s="13"/>
      <c r="G25" s="13"/>
      <c r="H25" s="13"/>
      <c r="I25" s="8">
        <v>1</v>
      </c>
      <c r="J25" s="8">
        <v>1</v>
      </c>
      <c r="K25" s="8">
        <v>1</v>
      </c>
      <c r="L25" s="8">
        <v>1</v>
      </c>
      <c r="M25" s="8">
        <v>1</v>
      </c>
    </row>
    <row r="26" spans="1:13" ht="21">
      <c r="A26" s="4"/>
      <c r="B26" s="269"/>
      <c r="C26" s="6"/>
      <c r="D26" s="6"/>
      <c r="E26" s="6" t="s">
        <v>301</v>
      </c>
      <c r="F26" s="8"/>
      <c r="G26" s="8"/>
      <c r="H26" s="8">
        <v>7</v>
      </c>
      <c r="I26" s="8"/>
      <c r="J26" s="8"/>
      <c r="K26" s="8"/>
      <c r="L26" s="8"/>
      <c r="M26" s="8"/>
    </row>
    <row r="27" spans="1:13" ht="21">
      <c r="A27" s="9" t="s">
        <v>109</v>
      </c>
      <c r="B27" s="268" t="s">
        <v>468</v>
      </c>
      <c r="C27" s="118" t="s">
        <v>303</v>
      </c>
      <c r="D27" s="118">
        <v>1.67</v>
      </c>
      <c r="E27" s="12" t="s">
        <v>300</v>
      </c>
      <c r="F27" s="13"/>
      <c r="G27" s="13"/>
      <c r="H27" s="13"/>
      <c r="I27" s="102">
        <v>40</v>
      </c>
      <c r="J27" s="102">
        <v>40</v>
      </c>
      <c r="K27" s="102">
        <v>40</v>
      </c>
      <c r="L27" s="102">
        <v>42</v>
      </c>
      <c r="M27" s="103" t="s">
        <v>548</v>
      </c>
    </row>
    <row r="28" spans="1:13" ht="21">
      <c r="A28" s="4"/>
      <c r="B28" s="269"/>
      <c r="C28" s="6"/>
      <c r="D28" s="6"/>
      <c r="E28" s="6" t="s">
        <v>301</v>
      </c>
      <c r="F28" s="30">
        <v>51.28205128205128</v>
      </c>
      <c r="G28" s="30">
        <v>57.14285714285714</v>
      </c>
      <c r="H28" s="30">
        <v>53.191489361702125</v>
      </c>
      <c r="I28" s="8"/>
      <c r="J28" s="8"/>
      <c r="K28" s="8"/>
      <c r="L28" s="8"/>
      <c r="M28" s="8"/>
    </row>
    <row r="29" spans="1:13" ht="21">
      <c r="A29" s="122" t="s">
        <v>328</v>
      </c>
      <c r="B29" s="123"/>
      <c r="C29" s="124"/>
      <c r="D29" s="124">
        <v>13.32</v>
      </c>
      <c r="E29" s="124"/>
      <c r="F29" s="124"/>
      <c r="G29" s="124"/>
      <c r="H29" s="124"/>
      <c r="I29" s="124"/>
      <c r="J29" s="124"/>
      <c r="K29" s="124"/>
      <c r="L29" s="124"/>
      <c r="M29" s="124"/>
    </row>
    <row r="30" spans="1:13" ht="21">
      <c r="A30" s="9" t="s">
        <v>115</v>
      </c>
      <c r="B30" s="270" t="s">
        <v>469</v>
      </c>
      <c r="C30" s="118" t="s">
        <v>303</v>
      </c>
      <c r="D30" s="118">
        <v>3.33</v>
      </c>
      <c r="E30" s="6" t="s">
        <v>300</v>
      </c>
      <c r="F30" s="140"/>
      <c r="G30" s="140"/>
      <c r="H30" s="140"/>
      <c r="I30" s="8">
        <v>60</v>
      </c>
      <c r="J30" s="8">
        <v>60</v>
      </c>
      <c r="K30" s="101">
        <v>65</v>
      </c>
      <c r="L30" s="101">
        <v>65</v>
      </c>
      <c r="M30" s="101">
        <v>70</v>
      </c>
    </row>
    <row r="31" spans="1:13" ht="21">
      <c r="A31" s="4"/>
      <c r="B31" s="269"/>
      <c r="C31" s="6"/>
      <c r="D31" s="6"/>
      <c r="E31" s="6" t="s">
        <v>301</v>
      </c>
      <c r="F31" s="8"/>
      <c r="G31" s="8"/>
      <c r="H31" s="8"/>
      <c r="I31" s="134"/>
      <c r="J31" s="134"/>
      <c r="K31" s="134"/>
      <c r="L31" s="134"/>
      <c r="M31" s="134"/>
    </row>
    <row r="32" spans="1:13" ht="21">
      <c r="A32" s="9" t="s">
        <v>117</v>
      </c>
      <c r="B32" s="268" t="s">
        <v>470</v>
      </c>
      <c r="C32" s="118" t="s">
        <v>303</v>
      </c>
      <c r="D32" s="118">
        <v>3.33</v>
      </c>
      <c r="E32" s="12" t="s">
        <v>300</v>
      </c>
      <c r="F32" s="13"/>
      <c r="G32" s="13"/>
      <c r="H32" s="13"/>
      <c r="I32" s="14">
        <v>100</v>
      </c>
      <c r="J32" s="14">
        <v>100</v>
      </c>
      <c r="K32" s="14">
        <v>100</v>
      </c>
      <c r="L32" s="14">
        <v>100</v>
      </c>
      <c r="M32" s="15" t="s">
        <v>98</v>
      </c>
    </row>
    <row r="33" spans="1:13" ht="21">
      <c r="A33" s="4"/>
      <c r="B33" s="269"/>
      <c r="C33" s="6"/>
      <c r="D33" s="6"/>
      <c r="E33" s="6" t="s">
        <v>301</v>
      </c>
      <c r="F33" s="30">
        <v>116.66666666666667</v>
      </c>
      <c r="G33" s="30">
        <v>175</v>
      </c>
      <c r="H33" s="30">
        <v>87.5</v>
      </c>
      <c r="I33" s="8"/>
      <c r="J33" s="8"/>
      <c r="K33" s="8"/>
      <c r="L33" s="8"/>
      <c r="M33" s="8"/>
    </row>
    <row r="34" spans="1:13" ht="21">
      <c r="A34" s="9" t="s">
        <v>123</v>
      </c>
      <c r="B34" s="268" t="s">
        <v>471</v>
      </c>
      <c r="C34" s="118" t="s">
        <v>303</v>
      </c>
      <c r="D34" s="118"/>
      <c r="E34" s="12" t="s">
        <v>300</v>
      </c>
      <c r="F34" s="13"/>
      <c r="G34" s="13"/>
      <c r="H34" s="13"/>
      <c r="I34" s="13"/>
      <c r="J34" s="13"/>
      <c r="K34" s="13"/>
      <c r="L34" s="13"/>
      <c r="M34" s="136"/>
    </row>
    <row r="35" spans="1:13" ht="21">
      <c r="A35" s="4"/>
      <c r="B35" s="269"/>
      <c r="C35" s="6"/>
      <c r="D35" s="6"/>
      <c r="E35" s="6" t="s">
        <v>301</v>
      </c>
      <c r="F35" s="8"/>
      <c r="G35" s="8"/>
      <c r="H35" s="8"/>
      <c r="I35" s="8"/>
      <c r="J35" s="8"/>
      <c r="K35" s="8"/>
      <c r="L35" s="8"/>
      <c r="M35" s="8"/>
    </row>
    <row r="36" spans="1:13" ht="21">
      <c r="A36" s="9" t="s">
        <v>125</v>
      </c>
      <c r="B36" s="268" t="s">
        <v>472</v>
      </c>
      <c r="C36" s="118" t="s">
        <v>303</v>
      </c>
      <c r="D36" s="118">
        <v>3.33</v>
      </c>
      <c r="E36" s="12" t="s">
        <v>300</v>
      </c>
      <c r="F36" s="13"/>
      <c r="G36" s="13"/>
      <c r="H36" s="13"/>
      <c r="I36" s="102">
        <v>6</v>
      </c>
      <c r="J36" s="102">
        <v>6</v>
      </c>
      <c r="K36" s="102">
        <v>6</v>
      </c>
      <c r="L36" s="102">
        <v>6</v>
      </c>
      <c r="M36" s="102">
        <v>6</v>
      </c>
    </row>
    <row r="37" spans="1:13" ht="21">
      <c r="A37" s="4"/>
      <c r="B37" s="269"/>
      <c r="C37" s="6"/>
      <c r="D37" s="6"/>
      <c r="E37" s="6" t="s">
        <v>301</v>
      </c>
      <c r="F37" s="8"/>
      <c r="G37" s="8"/>
      <c r="H37" s="30">
        <v>6.78391959798995</v>
      </c>
      <c r="I37" s="8"/>
      <c r="J37" s="8"/>
      <c r="K37" s="8"/>
      <c r="L37" s="8"/>
      <c r="M37" s="8"/>
    </row>
    <row r="38" spans="1:13" ht="21">
      <c r="A38" s="9" t="s">
        <v>130</v>
      </c>
      <c r="B38" s="268" t="s">
        <v>473</v>
      </c>
      <c r="C38" s="118" t="s">
        <v>303</v>
      </c>
      <c r="D38" s="118">
        <v>3.33</v>
      </c>
      <c r="E38" s="12" t="s">
        <v>300</v>
      </c>
      <c r="F38" s="13"/>
      <c r="G38" s="13"/>
      <c r="H38" s="13"/>
      <c r="I38" s="14">
        <v>100</v>
      </c>
      <c r="J38" s="14">
        <v>100</v>
      </c>
      <c r="K38" s="14">
        <v>100</v>
      </c>
      <c r="L38" s="14">
        <v>100</v>
      </c>
      <c r="M38" s="15" t="s">
        <v>98</v>
      </c>
    </row>
    <row r="39" spans="1:13" ht="21">
      <c r="A39" s="4"/>
      <c r="B39" s="269"/>
      <c r="C39" s="6"/>
      <c r="D39" s="6"/>
      <c r="E39" s="6" t="s">
        <v>301</v>
      </c>
      <c r="F39" s="8"/>
      <c r="G39" s="8"/>
      <c r="H39" s="8">
        <v>100</v>
      </c>
      <c r="I39" s="8"/>
      <c r="J39" s="8"/>
      <c r="K39" s="8"/>
      <c r="L39" s="8"/>
      <c r="M39" s="8"/>
    </row>
    <row r="40" spans="1:13" ht="21">
      <c r="A40" s="119" t="s">
        <v>335</v>
      </c>
      <c r="B40" s="268" t="s">
        <v>474</v>
      </c>
      <c r="C40" s="120" t="s">
        <v>337</v>
      </c>
      <c r="D40" s="120"/>
      <c r="E40" s="12" t="s">
        <v>300</v>
      </c>
      <c r="F40" s="13"/>
      <c r="G40" s="13"/>
      <c r="H40" s="13"/>
      <c r="I40" s="14">
        <v>3</v>
      </c>
      <c r="J40" s="14">
        <v>3</v>
      </c>
      <c r="K40" s="14">
        <v>3</v>
      </c>
      <c r="L40" s="8">
        <v>3</v>
      </c>
      <c r="M40" s="8">
        <v>3</v>
      </c>
    </row>
    <row r="41" spans="1:13" ht="21">
      <c r="A41" s="18"/>
      <c r="B41" s="278"/>
      <c r="C41" s="20"/>
      <c r="D41" s="20"/>
      <c r="E41" s="20" t="s">
        <v>301</v>
      </c>
      <c r="F41" s="22"/>
      <c r="G41" s="22"/>
      <c r="H41" s="22">
        <v>1</v>
      </c>
      <c r="I41" s="22"/>
      <c r="J41" s="22"/>
      <c r="K41" s="22"/>
      <c r="L41" s="22"/>
      <c r="M41" s="22"/>
    </row>
    <row r="42" spans="1:13" ht="21">
      <c r="A42" s="115" t="s">
        <v>132</v>
      </c>
      <c r="B42" s="116"/>
      <c r="C42" s="117"/>
      <c r="D42" s="117">
        <v>10</v>
      </c>
      <c r="E42" s="117"/>
      <c r="F42" s="117"/>
      <c r="G42" s="117"/>
      <c r="H42" s="117"/>
      <c r="I42" s="117"/>
      <c r="J42" s="117"/>
      <c r="K42" s="117"/>
      <c r="L42" s="117"/>
      <c r="M42" s="117"/>
    </row>
    <row r="43" spans="1:13" ht="21">
      <c r="A43" s="9" t="s">
        <v>138</v>
      </c>
      <c r="B43" s="270" t="s">
        <v>475</v>
      </c>
      <c r="C43" s="118" t="s">
        <v>303</v>
      </c>
      <c r="D43" s="118">
        <v>5</v>
      </c>
      <c r="E43" s="6" t="s">
        <v>300</v>
      </c>
      <c r="F43" s="7"/>
      <c r="G43" s="7"/>
      <c r="H43" s="7"/>
      <c r="I43" s="8">
        <v>60</v>
      </c>
      <c r="J43" s="8">
        <v>65</v>
      </c>
      <c r="K43" s="8">
        <v>70</v>
      </c>
      <c r="L43" s="8">
        <v>70</v>
      </c>
      <c r="M43" s="24" t="s">
        <v>140</v>
      </c>
    </row>
    <row r="44" spans="1:13" ht="21">
      <c r="A44" s="4"/>
      <c r="B44" s="269"/>
      <c r="C44" s="6"/>
      <c r="D44" s="6"/>
      <c r="E44" s="6" t="s">
        <v>301</v>
      </c>
      <c r="F44" s="8">
        <v>100</v>
      </c>
      <c r="G44" s="8">
        <v>100</v>
      </c>
      <c r="H44" s="8">
        <v>100</v>
      </c>
      <c r="I44" s="8"/>
      <c r="J44" s="8"/>
      <c r="K44" s="8"/>
      <c r="L44" s="8"/>
      <c r="M44" s="8"/>
    </row>
    <row r="45" spans="1:13" ht="21">
      <c r="A45" s="119" t="s">
        <v>141</v>
      </c>
      <c r="B45" s="268" t="s">
        <v>476</v>
      </c>
      <c r="C45" s="120" t="s">
        <v>303</v>
      </c>
      <c r="D45" s="120">
        <v>5</v>
      </c>
      <c r="E45" s="12" t="s">
        <v>300</v>
      </c>
      <c r="F45" s="130"/>
      <c r="G45" s="130"/>
      <c r="H45" s="130"/>
      <c r="I45" s="217">
        <v>95</v>
      </c>
      <c r="J45" s="217">
        <v>95</v>
      </c>
      <c r="K45" s="217">
        <v>95</v>
      </c>
      <c r="L45" s="217">
        <v>95</v>
      </c>
      <c r="M45" s="217">
        <v>95</v>
      </c>
    </row>
    <row r="46" spans="1:13" ht="21">
      <c r="A46" s="18"/>
      <c r="B46" s="278"/>
      <c r="C46" s="20"/>
      <c r="D46" s="20"/>
      <c r="E46" s="20" t="s">
        <v>301</v>
      </c>
      <c r="F46" s="22"/>
      <c r="G46" s="22"/>
      <c r="H46" s="51">
        <v>98.74371859296483</v>
      </c>
      <c r="I46" s="131"/>
      <c r="J46" s="131"/>
      <c r="K46" s="131"/>
      <c r="L46" s="131"/>
      <c r="M46" s="131"/>
    </row>
    <row r="47" spans="1:13" ht="21">
      <c r="A47" s="115" t="s">
        <v>143</v>
      </c>
      <c r="B47" s="116"/>
      <c r="C47" s="117"/>
      <c r="D47" s="117">
        <v>24</v>
      </c>
      <c r="E47" s="117"/>
      <c r="F47" s="117"/>
      <c r="G47" s="117"/>
      <c r="H47" s="117"/>
      <c r="I47" s="117"/>
      <c r="J47" s="117"/>
      <c r="K47" s="117"/>
      <c r="L47" s="117"/>
      <c r="M47" s="117"/>
    </row>
    <row r="48" spans="1:13" ht="21">
      <c r="A48" s="9" t="s">
        <v>149</v>
      </c>
      <c r="B48" s="270" t="s">
        <v>477</v>
      </c>
      <c r="C48" s="118" t="s">
        <v>348</v>
      </c>
      <c r="D48" s="118">
        <v>3</v>
      </c>
      <c r="E48" s="6" t="s">
        <v>300</v>
      </c>
      <c r="F48" s="7"/>
      <c r="G48" s="7"/>
      <c r="H48" s="7"/>
      <c r="I48" s="31">
        <v>350000</v>
      </c>
      <c r="J48" s="31">
        <v>350000</v>
      </c>
      <c r="K48" s="31">
        <v>350000</v>
      </c>
      <c r="L48" s="143">
        <v>350000</v>
      </c>
      <c r="M48" s="143">
        <v>350000</v>
      </c>
    </row>
    <row r="49" spans="1:13" ht="21">
      <c r="A49" s="4"/>
      <c r="B49" s="269"/>
      <c r="C49" s="6"/>
      <c r="D49" s="6"/>
      <c r="E49" s="6" t="s">
        <v>301</v>
      </c>
      <c r="F49" s="8"/>
      <c r="G49" s="8"/>
      <c r="H49" s="31">
        <v>425992.052525</v>
      </c>
      <c r="I49" s="31"/>
      <c r="J49" s="8"/>
      <c r="K49" s="8"/>
      <c r="L49" s="8"/>
      <c r="M49" s="8"/>
    </row>
    <row r="50" spans="1:13" ht="21">
      <c r="A50" s="9" t="s">
        <v>151</v>
      </c>
      <c r="B50" s="268" t="s">
        <v>478</v>
      </c>
      <c r="C50" s="118" t="s">
        <v>303</v>
      </c>
      <c r="D50" s="118">
        <v>3</v>
      </c>
      <c r="E50" s="12" t="s">
        <v>300</v>
      </c>
      <c r="F50" s="13"/>
      <c r="G50" s="13"/>
      <c r="H50" s="13"/>
      <c r="I50" s="102">
        <v>90</v>
      </c>
      <c r="J50" s="102">
        <v>90</v>
      </c>
      <c r="K50" s="102">
        <v>100</v>
      </c>
      <c r="L50" s="102">
        <v>100</v>
      </c>
      <c r="M50" s="103" t="s">
        <v>549</v>
      </c>
    </row>
    <row r="51" spans="1:13" ht="42" customHeight="1">
      <c r="A51" s="4"/>
      <c r="B51" s="269"/>
      <c r="C51" s="6"/>
      <c r="D51" s="6"/>
      <c r="E51" s="6" t="s">
        <v>301</v>
      </c>
      <c r="F51" s="49">
        <v>68.66666666666667</v>
      </c>
      <c r="G51" s="30">
        <v>92.88461538461537</v>
      </c>
      <c r="H51" s="49">
        <v>88.76666666666667</v>
      </c>
      <c r="I51" s="30"/>
      <c r="J51" s="8"/>
      <c r="K51" s="8"/>
      <c r="L51" s="8"/>
      <c r="M51" s="8"/>
    </row>
    <row r="52" spans="1:13" ht="21">
      <c r="A52" s="9" t="s">
        <v>154</v>
      </c>
      <c r="B52" s="268" t="s">
        <v>479</v>
      </c>
      <c r="C52" s="118" t="s">
        <v>348</v>
      </c>
      <c r="D52" s="118">
        <v>3</v>
      </c>
      <c r="E52" s="12" t="s">
        <v>300</v>
      </c>
      <c r="F52" s="43"/>
      <c r="G52" s="43"/>
      <c r="H52" s="43"/>
      <c r="I52" s="40">
        <v>50000</v>
      </c>
      <c r="J52" s="40">
        <v>50000</v>
      </c>
      <c r="K52" s="40">
        <v>45000</v>
      </c>
      <c r="L52" s="40">
        <v>45000</v>
      </c>
      <c r="M52" s="40">
        <v>40000</v>
      </c>
    </row>
    <row r="53" spans="1:13" ht="21">
      <c r="A53" s="4"/>
      <c r="B53" s="269"/>
      <c r="C53" s="6"/>
      <c r="D53" s="6"/>
      <c r="E53" s="6" t="s">
        <v>301</v>
      </c>
      <c r="F53" s="31"/>
      <c r="G53" s="31"/>
      <c r="H53" s="31">
        <v>70823.81985833333</v>
      </c>
      <c r="I53" s="31"/>
      <c r="J53" s="31"/>
      <c r="K53" s="31"/>
      <c r="L53" s="31"/>
      <c r="M53" s="31"/>
    </row>
    <row r="54" spans="1:13" ht="21">
      <c r="A54" s="9" t="s">
        <v>156</v>
      </c>
      <c r="B54" s="268" t="s">
        <v>480</v>
      </c>
      <c r="C54" s="118" t="s">
        <v>348</v>
      </c>
      <c r="D54" s="118">
        <v>3</v>
      </c>
      <c r="E54" s="12" t="s">
        <v>300</v>
      </c>
      <c r="F54" s="43"/>
      <c r="G54" s="43"/>
      <c r="H54" s="43"/>
      <c r="I54" s="40">
        <v>300000</v>
      </c>
      <c r="J54" s="40">
        <v>300000</v>
      </c>
      <c r="K54" s="40">
        <v>305000</v>
      </c>
      <c r="L54" s="40">
        <v>305000</v>
      </c>
      <c r="M54" s="40">
        <v>310000</v>
      </c>
    </row>
    <row r="55" spans="1:13" ht="21">
      <c r="A55" s="4"/>
      <c r="B55" s="269"/>
      <c r="C55" s="6"/>
      <c r="D55" s="6"/>
      <c r="E55" s="6" t="s">
        <v>301</v>
      </c>
      <c r="F55" s="31"/>
      <c r="G55" s="31"/>
      <c r="H55" s="31">
        <v>355168.2326666667</v>
      </c>
      <c r="I55" s="31"/>
      <c r="J55" s="31"/>
      <c r="K55" s="31"/>
      <c r="L55" s="31"/>
      <c r="M55" s="31"/>
    </row>
    <row r="56" spans="1:13" ht="21">
      <c r="A56" s="9" t="s">
        <v>158</v>
      </c>
      <c r="B56" s="268" t="s">
        <v>481</v>
      </c>
      <c r="C56" s="118" t="s">
        <v>303</v>
      </c>
      <c r="D56" s="118">
        <v>3</v>
      </c>
      <c r="E56" s="12" t="s">
        <v>300</v>
      </c>
      <c r="F56" s="13"/>
      <c r="G56" s="13"/>
      <c r="H56" s="13"/>
      <c r="I56" s="14">
        <v>50</v>
      </c>
      <c r="J56" s="14">
        <v>50</v>
      </c>
      <c r="K56" s="14">
        <v>50</v>
      </c>
      <c r="L56" s="14">
        <v>50</v>
      </c>
      <c r="M56" s="15" t="s">
        <v>112</v>
      </c>
    </row>
    <row r="57" spans="1:13" ht="21">
      <c r="A57" s="4"/>
      <c r="B57" s="269"/>
      <c r="C57" s="6"/>
      <c r="D57" s="6"/>
      <c r="E57" s="6" t="s">
        <v>301</v>
      </c>
      <c r="F57" s="170">
        <v>14.815</v>
      </c>
      <c r="G57" s="105">
        <v>30.77</v>
      </c>
      <c r="H57" s="133">
        <v>70</v>
      </c>
      <c r="I57" s="127"/>
      <c r="J57" s="8"/>
      <c r="K57" s="8"/>
      <c r="L57" s="8"/>
      <c r="M57" s="8"/>
    </row>
    <row r="58" spans="1:13" ht="21">
      <c r="A58" s="9" t="s">
        <v>161</v>
      </c>
      <c r="B58" s="268" t="s">
        <v>482</v>
      </c>
      <c r="C58" s="118" t="s">
        <v>303</v>
      </c>
      <c r="D58" s="118">
        <v>3</v>
      </c>
      <c r="E58" s="12" t="s">
        <v>300</v>
      </c>
      <c r="F58" s="13"/>
      <c r="G58" s="13"/>
      <c r="H58" s="13"/>
      <c r="I58" s="102">
        <v>45</v>
      </c>
      <c r="J58" s="102">
        <v>45</v>
      </c>
      <c r="K58" s="14">
        <v>50</v>
      </c>
      <c r="L58" s="14">
        <v>50</v>
      </c>
      <c r="M58" s="103" t="s">
        <v>113</v>
      </c>
    </row>
    <row r="59" spans="1:13" ht="21">
      <c r="A59" s="4"/>
      <c r="B59" s="269"/>
      <c r="C59" s="6"/>
      <c r="D59" s="6"/>
      <c r="E59" s="6" t="s">
        <v>301</v>
      </c>
      <c r="F59" s="30">
        <v>51.852</v>
      </c>
      <c r="G59" s="8">
        <v>61.54</v>
      </c>
      <c r="H59" s="49">
        <v>40</v>
      </c>
      <c r="I59" s="127"/>
      <c r="J59" s="8"/>
      <c r="K59" s="8"/>
      <c r="L59" s="8"/>
      <c r="M59" s="8"/>
    </row>
    <row r="60" spans="1:13" ht="21">
      <c r="A60" s="9" t="s">
        <v>165</v>
      </c>
      <c r="B60" s="268" t="s">
        <v>483</v>
      </c>
      <c r="C60" s="118" t="s">
        <v>303</v>
      </c>
      <c r="D60" s="118">
        <v>3</v>
      </c>
      <c r="E60" s="12" t="s">
        <v>300</v>
      </c>
      <c r="F60" s="13"/>
      <c r="G60" s="13"/>
      <c r="H60" s="13"/>
      <c r="I60" s="102">
        <v>5</v>
      </c>
      <c r="J60" s="102">
        <v>5</v>
      </c>
      <c r="K60" s="102">
        <v>5</v>
      </c>
      <c r="L60" s="102">
        <v>5</v>
      </c>
      <c r="M60" s="102">
        <v>5</v>
      </c>
    </row>
    <row r="61" spans="1:13" ht="21">
      <c r="A61" s="4"/>
      <c r="B61" s="269"/>
      <c r="C61" s="6"/>
      <c r="D61" s="6"/>
      <c r="E61" s="6" t="s">
        <v>301</v>
      </c>
      <c r="F61" s="8"/>
      <c r="G61" s="49">
        <v>5.576923076923077</v>
      </c>
      <c r="H61" s="30">
        <v>4.33</v>
      </c>
      <c r="I61" s="30"/>
      <c r="J61" s="8"/>
      <c r="K61" s="8"/>
      <c r="L61" s="8"/>
      <c r="M61" s="8"/>
    </row>
    <row r="62" spans="1:13" ht="21">
      <c r="A62" s="9" t="s">
        <v>169</v>
      </c>
      <c r="B62" s="268" t="s">
        <v>355</v>
      </c>
      <c r="C62" s="118" t="s">
        <v>303</v>
      </c>
      <c r="D62" s="118">
        <v>3</v>
      </c>
      <c r="E62" s="12" t="s">
        <v>300</v>
      </c>
      <c r="F62" s="13"/>
      <c r="G62" s="13"/>
      <c r="H62" s="13"/>
      <c r="I62" s="14">
        <v>65</v>
      </c>
      <c r="J62" s="14">
        <v>70</v>
      </c>
      <c r="K62" s="14">
        <v>70</v>
      </c>
      <c r="L62" s="14">
        <v>70</v>
      </c>
      <c r="M62" s="15" t="s">
        <v>140</v>
      </c>
    </row>
    <row r="63" spans="1:13" ht="21">
      <c r="A63" s="4"/>
      <c r="B63" s="269"/>
      <c r="C63" s="6"/>
      <c r="D63" s="6"/>
      <c r="E63" s="6" t="s">
        <v>301</v>
      </c>
      <c r="F63" s="8"/>
      <c r="G63" s="8"/>
      <c r="H63" s="8"/>
      <c r="I63" s="127"/>
      <c r="J63" s="8"/>
      <c r="K63" s="8"/>
      <c r="L63" s="8"/>
      <c r="M63" s="8"/>
    </row>
    <row r="64" spans="1:13" ht="21">
      <c r="A64" s="122" t="s">
        <v>359</v>
      </c>
      <c r="B64" s="123"/>
      <c r="C64" s="124"/>
      <c r="D64" s="124">
        <v>10</v>
      </c>
      <c r="E64" s="124"/>
      <c r="F64" s="124"/>
      <c r="G64" s="124"/>
      <c r="H64" s="124"/>
      <c r="I64" s="124"/>
      <c r="J64" s="124"/>
      <c r="K64" s="124"/>
      <c r="L64" s="124"/>
      <c r="M64" s="124"/>
    </row>
    <row r="65" spans="1:13" ht="21">
      <c r="A65" s="9" t="s">
        <v>172</v>
      </c>
      <c r="B65" s="283" t="s">
        <v>484</v>
      </c>
      <c r="C65" s="118" t="s">
        <v>303</v>
      </c>
      <c r="D65" s="118">
        <v>10</v>
      </c>
      <c r="E65" s="6" t="s">
        <v>300</v>
      </c>
      <c r="F65" s="7"/>
      <c r="G65" s="7"/>
      <c r="H65" s="7"/>
      <c r="I65" s="101">
        <v>30</v>
      </c>
      <c r="J65" s="101">
        <v>35</v>
      </c>
      <c r="K65" s="101">
        <v>35</v>
      </c>
      <c r="L65" s="101">
        <v>40</v>
      </c>
      <c r="M65" s="246" t="s">
        <v>111</v>
      </c>
    </row>
    <row r="66" spans="1:13" ht="21">
      <c r="A66" s="18"/>
      <c r="B66" s="278"/>
      <c r="C66" s="20"/>
      <c r="D66" s="20"/>
      <c r="E66" s="20" t="s">
        <v>301</v>
      </c>
      <c r="F66" s="51">
        <v>35.714285714285715</v>
      </c>
      <c r="G66" s="51">
        <v>0.005185185185185185</v>
      </c>
      <c r="H66" s="51">
        <v>23.333333333333332</v>
      </c>
      <c r="I66" s="51"/>
      <c r="J66" s="22"/>
      <c r="K66" s="22"/>
      <c r="L66" s="22"/>
      <c r="M66" s="22"/>
    </row>
    <row r="67" spans="1:13" ht="21">
      <c r="A67" s="115" t="s">
        <v>179</v>
      </c>
      <c r="B67" s="116"/>
      <c r="C67" s="117"/>
      <c r="D67" s="117">
        <v>5</v>
      </c>
      <c r="E67" s="117"/>
      <c r="F67" s="117"/>
      <c r="G67" s="117"/>
      <c r="H67" s="117"/>
      <c r="I67" s="117"/>
      <c r="J67" s="117"/>
      <c r="K67" s="117"/>
      <c r="L67" s="117"/>
      <c r="M67" s="117"/>
    </row>
    <row r="68" spans="1:13" ht="21">
      <c r="A68" s="9" t="s">
        <v>182</v>
      </c>
      <c r="B68" s="270" t="s">
        <v>485</v>
      </c>
      <c r="C68" s="118" t="s">
        <v>303</v>
      </c>
      <c r="D68" s="118">
        <v>2.5</v>
      </c>
      <c r="E68" s="6" t="s">
        <v>300</v>
      </c>
      <c r="F68" s="7"/>
      <c r="G68" s="7"/>
      <c r="H68" s="7"/>
      <c r="I68" s="8">
        <v>25</v>
      </c>
      <c r="J68" s="8">
        <v>25</v>
      </c>
      <c r="K68" s="8">
        <v>25</v>
      </c>
      <c r="L68" s="8">
        <v>25</v>
      </c>
      <c r="M68" s="24" t="s">
        <v>160</v>
      </c>
    </row>
    <row r="69" spans="1:13" ht="42" customHeight="1">
      <c r="A69" s="4"/>
      <c r="B69" s="269"/>
      <c r="C69" s="6"/>
      <c r="D69" s="6"/>
      <c r="E69" s="6" t="s">
        <v>301</v>
      </c>
      <c r="F69" s="30">
        <v>7.142857142857142</v>
      </c>
      <c r="G69" s="8"/>
      <c r="H69" s="8" t="s">
        <v>185</v>
      </c>
      <c r="I69" s="127"/>
      <c r="J69" s="8"/>
      <c r="K69" s="8"/>
      <c r="L69" s="8"/>
      <c r="M69" s="8"/>
    </row>
    <row r="70" spans="1:13" ht="21">
      <c r="A70" s="9" t="s">
        <v>189</v>
      </c>
      <c r="B70" s="268" t="s">
        <v>486</v>
      </c>
      <c r="C70" s="118" t="s">
        <v>303</v>
      </c>
      <c r="D70" s="118">
        <v>2.5</v>
      </c>
      <c r="E70" s="12" t="s">
        <v>300</v>
      </c>
      <c r="F70" s="13"/>
      <c r="G70" s="13"/>
      <c r="H70" s="13"/>
      <c r="I70" s="102">
        <v>10.5</v>
      </c>
      <c r="J70" s="102">
        <v>10.5</v>
      </c>
      <c r="K70" s="102">
        <v>10.5</v>
      </c>
      <c r="L70" s="102">
        <v>10.5</v>
      </c>
      <c r="M70" s="102">
        <v>10.5</v>
      </c>
    </row>
    <row r="71" spans="1:13" ht="21">
      <c r="A71" s="4"/>
      <c r="B71" s="269"/>
      <c r="C71" s="6"/>
      <c r="D71" s="6"/>
      <c r="E71" s="6" t="s">
        <v>301</v>
      </c>
      <c r="F71" s="170">
        <f>6/27*100</f>
        <v>22.22222222222222</v>
      </c>
      <c r="G71" s="169">
        <f>8/26*100</f>
        <v>30.76923076923077</v>
      </c>
      <c r="H71" s="49">
        <v>10</v>
      </c>
      <c r="I71" s="49"/>
      <c r="J71" s="8"/>
      <c r="K71" s="8"/>
      <c r="L71" s="8"/>
      <c r="M71" s="8"/>
    </row>
    <row r="72" spans="1:13" ht="21">
      <c r="A72" s="9" t="s">
        <v>191</v>
      </c>
      <c r="B72" s="268" t="s">
        <v>487</v>
      </c>
      <c r="C72" s="118" t="s">
        <v>303</v>
      </c>
      <c r="D72" s="118"/>
      <c r="E72" s="12" t="s">
        <v>300</v>
      </c>
      <c r="F72" s="130"/>
      <c r="G72" s="130"/>
      <c r="H72" s="130"/>
      <c r="I72" s="130"/>
      <c r="J72" s="130"/>
      <c r="K72" s="130"/>
      <c r="L72" s="130"/>
      <c r="M72" s="130"/>
    </row>
    <row r="73" spans="1:13" ht="21">
      <c r="A73" s="4"/>
      <c r="B73" s="269"/>
      <c r="C73" s="6"/>
      <c r="D73" s="6"/>
      <c r="E73" s="6" t="s">
        <v>301</v>
      </c>
      <c r="F73" s="134"/>
      <c r="G73" s="134"/>
      <c r="H73" s="134"/>
      <c r="I73" s="134"/>
      <c r="J73" s="134"/>
      <c r="K73" s="134"/>
      <c r="L73" s="134"/>
      <c r="M73" s="134"/>
    </row>
    <row r="74" spans="1:13" ht="21">
      <c r="A74" s="119" t="s">
        <v>199</v>
      </c>
      <c r="B74" s="268" t="s">
        <v>488</v>
      </c>
      <c r="C74" s="120" t="s">
        <v>303</v>
      </c>
      <c r="D74" s="120"/>
      <c r="E74" s="12" t="s">
        <v>300</v>
      </c>
      <c r="F74" s="13"/>
      <c r="G74" s="13"/>
      <c r="H74" s="13"/>
      <c r="I74" s="13"/>
      <c r="J74" s="13"/>
      <c r="K74" s="13"/>
      <c r="L74" s="13"/>
      <c r="M74" s="136"/>
    </row>
    <row r="75" spans="1:13" ht="21">
      <c r="A75" s="18"/>
      <c r="B75" s="278"/>
      <c r="C75" s="20"/>
      <c r="D75" s="20"/>
      <c r="E75" s="20" t="s">
        <v>301</v>
      </c>
      <c r="F75" s="22"/>
      <c r="G75" s="22"/>
      <c r="H75" s="22"/>
      <c r="I75" s="22"/>
      <c r="J75" s="22"/>
      <c r="K75" s="22"/>
      <c r="L75" s="22"/>
      <c r="M75" s="22"/>
    </row>
    <row r="76" spans="1:13" ht="21">
      <c r="A76" s="115" t="s">
        <v>209</v>
      </c>
      <c r="B76" s="116"/>
      <c r="C76" s="117"/>
      <c r="D76" s="117">
        <v>12.25</v>
      </c>
      <c r="E76" s="117"/>
      <c r="F76" s="117"/>
      <c r="G76" s="117"/>
      <c r="H76" s="117"/>
      <c r="I76" s="117"/>
      <c r="J76" s="117"/>
      <c r="K76" s="117"/>
      <c r="L76" s="117"/>
      <c r="M76" s="117"/>
    </row>
    <row r="77" spans="1:13" ht="21">
      <c r="A77" s="9" t="s">
        <v>210</v>
      </c>
      <c r="B77" s="270" t="s">
        <v>489</v>
      </c>
      <c r="C77" s="118" t="s">
        <v>315</v>
      </c>
      <c r="D77" s="118">
        <v>1.53</v>
      </c>
      <c r="E77" s="6" t="s">
        <v>300</v>
      </c>
      <c r="F77" s="140"/>
      <c r="G77" s="140"/>
      <c r="H77" s="140"/>
      <c r="I77" s="8">
        <v>4</v>
      </c>
      <c r="J77" s="8">
        <v>4</v>
      </c>
      <c r="K77" s="8">
        <v>4</v>
      </c>
      <c r="L77" s="8">
        <v>4</v>
      </c>
      <c r="M77" s="8">
        <v>4</v>
      </c>
    </row>
    <row r="78" spans="1:13" ht="21">
      <c r="A78" s="4"/>
      <c r="B78" s="269"/>
      <c r="C78" s="6"/>
      <c r="D78" s="6"/>
      <c r="E78" s="6" t="s">
        <v>301</v>
      </c>
      <c r="F78" s="8"/>
      <c r="G78" s="8"/>
      <c r="H78" s="8"/>
      <c r="I78" s="134"/>
      <c r="J78" s="134"/>
      <c r="K78" s="134"/>
      <c r="L78" s="134"/>
      <c r="M78" s="134"/>
    </row>
    <row r="79" spans="1:13" ht="21">
      <c r="A79" s="9" t="s">
        <v>212</v>
      </c>
      <c r="B79" s="268" t="s">
        <v>490</v>
      </c>
      <c r="C79" s="118" t="s">
        <v>299</v>
      </c>
      <c r="D79" s="118">
        <v>1.53</v>
      </c>
      <c r="E79" s="12" t="s">
        <v>300</v>
      </c>
      <c r="F79" s="130"/>
      <c r="G79" s="130"/>
      <c r="H79" s="130"/>
      <c r="I79" s="14">
        <v>3</v>
      </c>
      <c r="J79" s="14">
        <v>3</v>
      </c>
      <c r="K79" s="14">
        <v>3</v>
      </c>
      <c r="L79" s="14">
        <v>3</v>
      </c>
      <c r="M79" s="14">
        <v>3</v>
      </c>
    </row>
    <row r="80" spans="1:13" ht="21">
      <c r="A80" s="4"/>
      <c r="B80" s="269"/>
      <c r="C80" s="6"/>
      <c r="D80" s="6"/>
      <c r="E80" s="6" t="s">
        <v>301</v>
      </c>
      <c r="F80" s="8"/>
      <c r="G80" s="8"/>
      <c r="H80" s="8"/>
      <c r="I80" s="134"/>
      <c r="J80" s="134"/>
      <c r="K80" s="134"/>
      <c r="L80" s="134"/>
      <c r="M80" s="134"/>
    </row>
    <row r="81" spans="1:13" ht="21">
      <c r="A81" s="9" t="s">
        <v>216</v>
      </c>
      <c r="B81" s="268" t="s">
        <v>491</v>
      </c>
      <c r="C81" s="118" t="s">
        <v>299</v>
      </c>
      <c r="D81" s="118">
        <v>1.53</v>
      </c>
      <c r="E81" s="12" t="s">
        <v>300</v>
      </c>
      <c r="F81" s="130"/>
      <c r="G81" s="130"/>
      <c r="H81" s="130"/>
      <c r="I81" s="102">
        <v>4</v>
      </c>
      <c r="J81" s="102">
        <v>4</v>
      </c>
      <c r="K81" s="14">
        <v>5</v>
      </c>
      <c r="L81" s="14">
        <v>5</v>
      </c>
      <c r="M81" s="14">
        <v>5</v>
      </c>
    </row>
    <row r="82" spans="1:13" ht="21">
      <c r="A82" s="4"/>
      <c r="B82" s="269"/>
      <c r="C82" s="6"/>
      <c r="D82" s="6"/>
      <c r="E82" s="6" t="s">
        <v>301</v>
      </c>
      <c r="F82" s="8"/>
      <c r="G82" s="8"/>
      <c r="H82" s="8"/>
      <c r="I82" s="134"/>
      <c r="J82" s="134"/>
      <c r="K82" s="134"/>
      <c r="L82" s="134"/>
      <c r="M82" s="134"/>
    </row>
    <row r="83" spans="1:13" ht="21">
      <c r="A83" s="9" t="s">
        <v>225</v>
      </c>
      <c r="B83" s="268" t="s">
        <v>492</v>
      </c>
      <c r="C83" s="118" t="s">
        <v>299</v>
      </c>
      <c r="D83" s="118">
        <v>1.53</v>
      </c>
      <c r="E83" s="12" t="s">
        <v>300</v>
      </c>
      <c r="F83" s="130"/>
      <c r="G83" s="130"/>
      <c r="H83" s="130"/>
      <c r="I83" s="102">
        <v>3</v>
      </c>
      <c r="J83" s="14">
        <v>4</v>
      </c>
      <c r="K83" s="14">
        <v>4</v>
      </c>
      <c r="L83" s="14">
        <v>4</v>
      </c>
      <c r="M83" s="14">
        <v>4</v>
      </c>
    </row>
    <row r="84" spans="1:13" ht="21">
      <c r="A84" s="4"/>
      <c r="B84" s="269"/>
      <c r="C84" s="6"/>
      <c r="D84" s="6"/>
      <c r="E84" s="6" t="s">
        <v>301</v>
      </c>
      <c r="F84" s="8"/>
      <c r="G84" s="8"/>
      <c r="H84" s="8"/>
      <c r="I84" s="134"/>
      <c r="J84" s="134"/>
      <c r="K84" s="134"/>
      <c r="L84" s="134"/>
      <c r="M84" s="134"/>
    </row>
    <row r="85" spans="1:13" ht="21">
      <c r="A85" s="9" t="s">
        <v>229</v>
      </c>
      <c r="B85" s="268" t="s">
        <v>493</v>
      </c>
      <c r="C85" s="118" t="s">
        <v>303</v>
      </c>
      <c r="D85" s="118">
        <v>1.54</v>
      </c>
      <c r="E85" s="12" t="s">
        <v>300</v>
      </c>
      <c r="F85" s="13"/>
      <c r="G85" s="13"/>
      <c r="H85" s="13"/>
      <c r="I85" s="14">
        <v>55</v>
      </c>
      <c r="J85" s="14">
        <v>55</v>
      </c>
      <c r="K85" s="14">
        <v>60</v>
      </c>
      <c r="L85" s="14">
        <v>60</v>
      </c>
      <c r="M85" s="15" t="s">
        <v>164</v>
      </c>
    </row>
    <row r="86" spans="1:13" ht="21">
      <c r="A86" s="4"/>
      <c r="B86" s="269"/>
      <c r="C86" s="6"/>
      <c r="D86" s="6"/>
      <c r="E86" s="6" t="s">
        <v>301</v>
      </c>
      <c r="F86" s="30">
        <v>59.25925925925925</v>
      </c>
      <c r="G86" s="8">
        <v>69.23</v>
      </c>
      <c r="H86" s="30">
        <v>66.66666666666666</v>
      </c>
      <c r="I86" s="30"/>
      <c r="J86" s="8"/>
      <c r="K86" s="8"/>
      <c r="L86" s="8"/>
      <c r="M86" s="8"/>
    </row>
    <row r="87" spans="1:13" ht="21">
      <c r="A87" s="9" t="s">
        <v>231</v>
      </c>
      <c r="B87" s="268" t="s">
        <v>494</v>
      </c>
      <c r="C87" s="118" t="s">
        <v>348</v>
      </c>
      <c r="D87" s="118">
        <v>1.53</v>
      </c>
      <c r="E87" s="12" t="s">
        <v>300</v>
      </c>
      <c r="F87" s="13"/>
      <c r="G87" s="13"/>
      <c r="H87" s="13"/>
      <c r="I87" s="247">
        <v>20000</v>
      </c>
      <c r="J87" s="247">
        <v>20000</v>
      </c>
      <c r="K87" s="247">
        <v>20000</v>
      </c>
      <c r="L87" s="247">
        <v>20000</v>
      </c>
      <c r="M87" s="247">
        <v>20000</v>
      </c>
    </row>
    <row r="88" spans="1:13" ht="21">
      <c r="A88" s="4"/>
      <c r="B88" s="269"/>
      <c r="C88" s="6"/>
      <c r="D88" s="6"/>
      <c r="E88" s="6" t="s">
        <v>301</v>
      </c>
      <c r="F88" s="31">
        <v>9958.55357142857</v>
      </c>
      <c r="G88" s="31">
        <v>13499.703703703704</v>
      </c>
      <c r="H88" s="31">
        <v>20588.104</v>
      </c>
      <c r="I88" s="133"/>
      <c r="J88" s="8"/>
      <c r="K88" s="8"/>
      <c r="L88" s="8"/>
      <c r="M88" s="8"/>
    </row>
    <row r="89" spans="1:13" ht="21">
      <c r="A89" s="9" t="s">
        <v>234</v>
      </c>
      <c r="B89" s="268" t="s">
        <v>495</v>
      </c>
      <c r="C89" s="118" t="s">
        <v>303</v>
      </c>
      <c r="D89" s="118">
        <v>1.53</v>
      </c>
      <c r="E89" s="12" t="s">
        <v>300</v>
      </c>
      <c r="F89" s="13"/>
      <c r="G89" s="13"/>
      <c r="H89" s="13"/>
      <c r="I89" s="14">
        <v>100</v>
      </c>
      <c r="J89" s="14">
        <v>100</v>
      </c>
      <c r="K89" s="14">
        <v>100</v>
      </c>
      <c r="L89" s="14">
        <v>100</v>
      </c>
      <c r="M89" s="14">
        <v>100</v>
      </c>
    </row>
    <row r="90" spans="1:13" ht="21">
      <c r="A90" s="4"/>
      <c r="B90" s="269"/>
      <c r="C90" s="6"/>
      <c r="D90" s="6"/>
      <c r="E90" s="6" t="s">
        <v>301</v>
      </c>
      <c r="F90" s="8">
        <v>100</v>
      </c>
      <c r="G90" s="8">
        <v>100</v>
      </c>
      <c r="H90" s="8">
        <v>100</v>
      </c>
      <c r="I90" s="8"/>
      <c r="J90" s="8"/>
      <c r="K90" s="8"/>
      <c r="L90" s="8"/>
      <c r="M90" s="8"/>
    </row>
    <row r="91" spans="1:13" ht="21">
      <c r="A91" s="9" t="s">
        <v>236</v>
      </c>
      <c r="B91" s="268" t="s">
        <v>496</v>
      </c>
      <c r="C91" s="118" t="s">
        <v>299</v>
      </c>
      <c r="D91" s="118">
        <v>1.53</v>
      </c>
      <c r="E91" s="12" t="s">
        <v>300</v>
      </c>
      <c r="F91" s="130"/>
      <c r="G91" s="130"/>
      <c r="H91" s="130"/>
      <c r="I91" s="14">
        <v>3</v>
      </c>
      <c r="J91" s="14">
        <v>3</v>
      </c>
      <c r="K91" s="14">
        <v>3</v>
      </c>
      <c r="L91" s="14">
        <v>3</v>
      </c>
      <c r="M91" s="14">
        <v>3</v>
      </c>
    </row>
    <row r="92" spans="1:13" ht="21">
      <c r="A92" s="4"/>
      <c r="B92" s="269"/>
      <c r="C92" s="6"/>
      <c r="D92" s="6"/>
      <c r="E92" s="6" t="s">
        <v>301</v>
      </c>
      <c r="F92" s="8"/>
      <c r="G92" s="8"/>
      <c r="H92" s="8"/>
      <c r="I92" s="134"/>
      <c r="J92" s="134"/>
      <c r="K92" s="134"/>
      <c r="L92" s="134"/>
      <c r="M92" s="134"/>
    </row>
    <row r="93" spans="1:13" ht="21">
      <c r="A93" s="119" t="s">
        <v>401</v>
      </c>
      <c r="B93" s="268" t="s">
        <v>500</v>
      </c>
      <c r="C93" s="120" t="s">
        <v>403</v>
      </c>
      <c r="D93" s="120"/>
      <c r="E93" s="12" t="s">
        <v>300</v>
      </c>
      <c r="F93" s="130"/>
      <c r="G93" s="130"/>
      <c r="H93" s="130"/>
      <c r="I93" s="130"/>
      <c r="J93" s="130"/>
      <c r="K93" s="130"/>
      <c r="L93" s="130"/>
      <c r="M93" s="130"/>
    </row>
    <row r="94" spans="1:13" ht="21">
      <c r="A94" s="18"/>
      <c r="B94" s="278"/>
      <c r="C94" s="20"/>
      <c r="D94" s="20"/>
      <c r="E94" s="20" t="s">
        <v>301</v>
      </c>
      <c r="F94" s="131"/>
      <c r="G94" s="131"/>
      <c r="H94" s="131"/>
      <c r="I94" s="131"/>
      <c r="J94" s="131"/>
      <c r="K94" s="131"/>
      <c r="L94" s="131"/>
      <c r="M94" s="131"/>
    </row>
    <row r="95" spans="1:13" ht="21">
      <c r="A95" s="115" t="s">
        <v>251</v>
      </c>
      <c r="B95" s="116"/>
      <c r="C95" s="117"/>
      <c r="D95" s="117">
        <v>0</v>
      </c>
      <c r="E95" s="117"/>
      <c r="F95" s="117"/>
      <c r="G95" s="117"/>
      <c r="H95" s="117"/>
      <c r="I95" s="117"/>
      <c r="J95" s="117"/>
      <c r="K95" s="117"/>
      <c r="L95" s="117"/>
      <c r="M95" s="117"/>
    </row>
    <row r="96" spans="1:13" ht="21">
      <c r="A96" s="9" t="s">
        <v>258</v>
      </c>
      <c r="B96" s="283" t="s">
        <v>501</v>
      </c>
      <c r="C96" s="118" t="s">
        <v>299</v>
      </c>
      <c r="D96" s="118"/>
      <c r="E96" s="6" t="s">
        <v>300</v>
      </c>
      <c r="F96" s="140"/>
      <c r="G96" s="140"/>
      <c r="H96" s="140"/>
      <c r="I96" s="140"/>
      <c r="J96" s="140"/>
      <c r="K96" s="140"/>
      <c r="L96" s="140"/>
      <c r="M96" s="140"/>
    </row>
    <row r="97" spans="1:13" ht="21">
      <c r="A97" s="18"/>
      <c r="B97" s="278"/>
      <c r="C97" s="20"/>
      <c r="D97" s="20"/>
      <c r="E97" s="20" t="s">
        <v>301</v>
      </c>
      <c r="F97" s="131"/>
      <c r="G97" s="131"/>
      <c r="H97" s="131"/>
      <c r="I97" s="131"/>
      <c r="J97" s="131"/>
      <c r="K97" s="131"/>
      <c r="L97" s="131"/>
      <c r="M97" s="131"/>
    </row>
    <row r="98" ht="21">
      <c r="A98" s="137" t="s">
        <v>448</v>
      </c>
    </row>
    <row r="99" spans="1:2" ht="21">
      <c r="A99" s="139" t="s">
        <v>449</v>
      </c>
      <c r="B99" t="s">
        <v>450</v>
      </c>
    </row>
    <row r="100" spans="1:2" ht="21">
      <c r="A100" s="139" t="s">
        <v>451</v>
      </c>
      <c r="B100" t="s">
        <v>452</v>
      </c>
    </row>
    <row r="101" spans="1:2" ht="21">
      <c r="A101" s="139" t="s">
        <v>453</v>
      </c>
      <c r="B101" t="s">
        <v>454</v>
      </c>
    </row>
    <row r="102" spans="1:2" ht="21">
      <c r="A102" s="139" t="s">
        <v>455</v>
      </c>
      <c r="B102" t="s">
        <v>456</v>
      </c>
    </row>
  </sheetData>
  <mergeCells count="48">
    <mergeCell ref="B77:B78"/>
    <mergeCell ref="B70:B71"/>
    <mergeCell ref="B72:B73"/>
    <mergeCell ref="B74:B75"/>
    <mergeCell ref="B96:B97"/>
    <mergeCell ref="B43:B44"/>
    <mergeCell ref="B38:B39"/>
    <mergeCell ref="B40:B41"/>
    <mergeCell ref="B48:B49"/>
    <mergeCell ref="B65:B66"/>
    <mergeCell ref="B68:B69"/>
    <mergeCell ref="B89:B90"/>
    <mergeCell ref="B45:B46"/>
    <mergeCell ref="B87:B88"/>
    <mergeCell ref="B85:B86"/>
    <mergeCell ref="B81:B82"/>
    <mergeCell ref="B83:B84"/>
    <mergeCell ref="B5:B6"/>
    <mergeCell ref="B9:B10"/>
    <mergeCell ref="B27:B28"/>
    <mergeCell ref="B11:B12"/>
    <mergeCell ref="B62:B63"/>
    <mergeCell ref="B79:B80"/>
    <mergeCell ref="B30:B31"/>
    <mergeCell ref="B32:B33"/>
    <mergeCell ref="B34:B35"/>
    <mergeCell ref="B36:B37"/>
    <mergeCell ref="A2:B3"/>
    <mergeCell ref="I2:M2"/>
    <mergeCell ref="F2:H2"/>
    <mergeCell ref="C2:C3"/>
    <mergeCell ref="D2:D3"/>
    <mergeCell ref="E2:E3"/>
    <mergeCell ref="B58:B59"/>
    <mergeCell ref="B60:B61"/>
    <mergeCell ref="B50:B51"/>
    <mergeCell ref="B52:B53"/>
    <mergeCell ref="B54:B55"/>
    <mergeCell ref="B91:B92"/>
    <mergeCell ref="B93:B94"/>
    <mergeCell ref="B13:B14"/>
    <mergeCell ref="B15:B16"/>
    <mergeCell ref="B17:B18"/>
    <mergeCell ref="B19:B20"/>
    <mergeCell ref="B21:B22"/>
    <mergeCell ref="B23:B24"/>
    <mergeCell ref="B25:B26"/>
    <mergeCell ref="B56:B57"/>
  </mergeCells>
  <printOptions/>
  <pageMargins left="0.5905511811023623" right="0.5905511811023623" top="0.7874015748031497" bottom="0.984251968503937" header="0.5118110236220472" footer="0.5118110236220472"/>
  <pageSetup fitToHeight="0" fitToWidth="1" horizontalDpi="600" verticalDpi="600" orientation="landscape" paperSize="9" scale="77" r:id="rId1"/>
  <headerFooter alignWithMargins="0">
    <oddFooter>&amp;L&amp;F&amp;R&amp;A &amp;P/&amp;N</oddFooter>
  </headerFooter>
  <rowBreaks count="3" manualBreakCount="3">
    <brk id="28" max="255" man="1"/>
    <brk id="51" max="255" man="1"/>
    <brk id="75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4">
    <tabColor indexed="34"/>
    <pageSetUpPr fitToPage="1"/>
  </sheetPr>
  <dimension ref="A1:M102"/>
  <sheetViews>
    <sheetView zoomScale="90" zoomScaleNormal="90" workbookViewId="0" topLeftCell="A1">
      <pane xSplit="3" ySplit="3" topLeftCell="D4" activePane="bottomRight" state="frozen"/>
      <selection pane="topLeft" activeCell="B14" sqref="B14:B15"/>
      <selection pane="topRight" activeCell="B14" sqref="B14:B15"/>
      <selection pane="bottomLeft" activeCell="B14" sqref="B14:B15"/>
      <selection pane="bottomRight" activeCell="B15" sqref="B15:B16"/>
    </sheetView>
  </sheetViews>
  <sheetFormatPr defaultColWidth="9.33203125" defaultRowHeight="21"/>
  <cols>
    <col min="1" max="1" width="7.33203125" style="137" customWidth="1"/>
    <col min="2" max="2" width="83.83203125" style="0" customWidth="1"/>
    <col min="3" max="5" width="10.33203125" style="138" customWidth="1"/>
    <col min="6" max="8" width="10.16015625" style="54" bestFit="1" customWidth="1"/>
    <col min="9" max="13" width="9.33203125" style="54" customWidth="1"/>
  </cols>
  <sheetData>
    <row r="1" spans="1:13" ht="23.25">
      <c r="A1" s="112" t="s">
        <v>502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</row>
    <row r="2" spans="1:13" ht="25.5" customHeight="1">
      <c r="A2" s="274" t="s">
        <v>294</v>
      </c>
      <c r="B2" s="275"/>
      <c r="C2" s="272" t="s">
        <v>295</v>
      </c>
      <c r="D2" s="272" t="s">
        <v>296</v>
      </c>
      <c r="E2" s="272" t="s">
        <v>297</v>
      </c>
      <c r="F2" s="271" t="s">
        <v>3</v>
      </c>
      <c r="G2" s="271"/>
      <c r="H2" s="271"/>
      <c r="I2" s="271" t="s">
        <v>4</v>
      </c>
      <c r="J2" s="271"/>
      <c r="K2" s="271"/>
      <c r="L2" s="271"/>
      <c r="M2" s="271"/>
    </row>
    <row r="3" spans="1:13" ht="25.5" customHeight="1">
      <c r="A3" s="276"/>
      <c r="B3" s="277"/>
      <c r="C3" s="273"/>
      <c r="D3" s="273"/>
      <c r="E3" s="273"/>
      <c r="F3" s="114">
        <v>2547</v>
      </c>
      <c r="G3" s="114">
        <v>2548</v>
      </c>
      <c r="H3" s="114">
        <v>2549</v>
      </c>
      <c r="I3" s="114">
        <v>2550</v>
      </c>
      <c r="J3" s="114">
        <v>2551</v>
      </c>
      <c r="K3" s="114">
        <v>2552</v>
      </c>
      <c r="L3" s="114">
        <v>2553</v>
      </c>
      <c r="M3" s="114">
        <v>2554</v>
      </c>
    </row>
    <row r="4" spans="1:13" ht="21">
      <c r="A4" s="115" t="s">
        <v>5</v>
      </c>
      <c r="B4" s="116"/>
      <c r="C4" s="117"/>
      <c r="D4" s="117">
        <v>6.67</v>
      </c>
      <c r="E4" s="117"/>
      <c r="F4" s="117"/>
      <c r="G4" s="117"/>
      <c r="H4" s="117"/>
      <c r="I4" s="117"/>
      <c r="J4" s="117"/>
      <c r="K4" s="117"/>
      <c r="L4" s="117"/>
      <c r="M4" s="117"/>
    </row>
    <row r="5" spans="1:13" ht="21">
      <c r="A5" s="9" t="s">
        <v>9</v>
      </c>
      <c r="B5" s="283" t="s">
        <v>458</v>
      </c>
      <c r="C5" s="118" t="s">
        <v>303</v>
      </c>
      <c r="D5" s="118">
        <v>6.67</v>
      </c>
      <c r="E5" s="6" t="s">
        <v>300</v>
      </c>
      <c r="F5" s="7"/>
      <c r="G5" s="7"/>
      <c r="H5" s="7"/>
      <c r="I5" s="8">
        <v>80</v>
      </c>
      <c r="J5" s="8">
        <v>80</v>
      </c>
      <c r="K5" s="8">
        <v>80</v>
      </c>
      <c r="L5" s="8">
        <v>80</v>
      </c>
      <c r="M5" s="8">
        <v>80</v>
      </c>
    </row>
    <row r="6" spans="1:13" ht="21">
      <c r="A6" s="18"/>
      <c r="B6" s="278"/>
      <c r="C6" s="20"/>
      <c r="D6" s="20"/>
      <c r="E6" s="20" t="s">
        <v>301</v>
      </c>
      <c r="F6" s="22"/>
      <c r="G6" s="22"/>
      <c r="H6" s="22"/>
      <c r="I6" s="51"/>
      <c r="J6" s="22"/>
      <c r="K6" s="22"/>
      <c r="L6" s="22"/>
      <c r="M6" s="22"/>
    </row>
    <row r="7" spans="1:13" ht="21">
      <c r="A7" s="115" t="s">
        <v>31</v>
      </c>
      <c r="B7" s="116"/>
      <c r="C7" s="117"/>
      <c r="D7" s="117">
        <v>26.63</v>
      </c>
      <c r="E7" s="117"/>
      <c r="F7" s="117"/>
      <c r="G7" s="117"/>
      <c r="H7" s="117"/>
      <c r="I7" s="117"/>
      <c r="J7" s="117"/>
      <c r="K7" s="117"/>
      <c r="L7" s="117"/>
      <c r="M7" s="117"/>
    </row>
    <row r="8" spans="1:13" ht="21">
      <c r="A8" s="122" t="s">
        <v>305</v>
      </c>
      <c r="B8" s="123"/>
      <c r="C8" s="124"/>
      <c r="D8" s="124">
        <v>13.31</v>
      </c>
      <c r="E8" s="124"/>
      <c r="F8" s="124"/>
      <c r="G8" s="124"/>
      <c r="H8" s="124"/>
      <c r="I8" s="124"/>
      <c r="J8" s="124"/>
      <c r="K8" s="124"/>
      <c r="L8" s="124"/>
      <c r="M8" s="124"/>
    </row>
    <row r="9" spans="1:13" ht="21">
      <c r="A9" s="9" t="s">
        <v>32</v>
      </c>
      <c r="B9" s="270" t="s">
        <v>459</v>
      </c>
      <c r="C9" s="118" t="s">
        <v>315</v>
      </c>
      <c r="D9" s="118">
        <v>1.66</v>
      </c>
      <c r="E9" s="6" t="s">
        <v>300</v>
      </c>
      <c r="F9" s="140"/>
      <c r="G9" s="140"/>
      <c r="H9" s="140"/>
      <c r="I9" s="8">
        <v>6</v>
      </c>
      <c r="J9" s="8">
        <v>6</v>
      </c>
      <c r="K9" s="8">
        <v>6</v>
      </c>
      <c r="L9" s="8">
        <v>6</v>
      </c>
      <c r="M9" s="8">
        <v>6</v>
      </c>
    </row>
    <row r="10" spans="1:13" ht="21">
      <c r="A10" s="4"/>
      <c r="B10" s="269"/>
      <c r="C10" s="6"/>
      <c r="D10" s="6"/>
      <c r="E10" s="6" t="s">
        <v>301</v>
      </c>
      <c r="F10" s="8"/>
      <c r="G10" s="8"/>
      <c r="H10" s="8"/>
      <c r="I10" s="134"/>
      <c r="J10" s="248"/>
      <c r="K10" s="248"/>
      <c r="L10" s="248"/>
      <c r="M10" s="248"/>
    </row>
    <row r="11" spans="1:13" ht="21">
      <c r="A11" s="9" t="s">
        <v>36</v>
      </c>
      <c r="B11" s="268" t="s">
        <v>460</v>
      </c>
      <c r="C11" s="118" t="s">
        <v>315</v>
      </c>
      <c r="D11" s="118">
        <v>1.66</v>
      </c>
      <c r="E11" s="12" t="s">
        <v>300</v>
      </c>
      <c r="F11" s="13"/>
      <c r="G11" s="13"/>
      <c r="H11" s="13"/>
      <c r="I11" s="14">
        <v>6</v>
      </c>
      <c r="J11" s="14">
        <v>6</v>
      </c>
      <c r="K11" s="14">
        <v>6</v>
      </c>
      <c r="L11" s="14">
        <v>6</v>
      </c>
      <c r="M11" s="15" t="s">
        <v>146</v>
      </c>
    </row>
    <row r="12" spans="1:13" ht="21">
      <c r="A12" s="4"/>
      <c r="B12" s="269"/>
      <c r="C12" s="6"/>
      <c r="D12" s="6"/>
      <c r="E12" s="6" t="s">
        <v>301</v>
      </c>
      <c r="F12" s="8"/>
      <c r="G12" s="8"/>
      <c r="H12" s="8">
        <v>4</v>
      </c>
      <c r="I12" s="8"/>
      <c r="J12" s="8"/>
      <c r="K12" s="8"/>
      <c r="L12" s="8"/>
      <c r="M12" s="8"/>
    </row>
    <row r="13" spans="1:13" ht="21">
      <c r="A13" s="9" t="s">
        <v>42</v>
      </c>
      <c r="B13" s="268" t="s">
        <v>461</v>
      </c>
      <c r="C13" s="118" t="s">
        <v>303</v>
      </c>
      <c r="D13" s="118">
        <v>1.66</v>
      </c>
      <c r="E13" s="12" t="s">
        <v>300</v>
      </c>
      <c r="F13" s="13"/>
      <c r="G13" s="13"/>
      <c r="H13" s="13"/>
      <c r="I13" s="14">
        <v>-30</v>
      </c>
      <c r="J13" s="14">
        <v>-30</v>
      </c>
      <c r="K13" s="14">
        <v>-30</v>
      </c>
      <c r="L13" s="14">
        <v>-30</v>
      </c>
      <c r="M13" s="14">
        <v>-30</v>
      </c>
    </row>
    <row r="14" spans="1:13" ht="21">
      <c r="A14" s="4"/>
      <c r="B14" s="269"/>
      <c r="C14" s="6"/>
      <c r="D14" s="6"/>
      <c r="E14" s="6" t="s">
        <v>301</v>
      </c>
      <c r="F14" s="8"/>
      <c r="G14" s="133"/>
      <c r="H14" s="49">
        <v>-27.55</v>
      </c>
      <c r="I14" s="127"/>
      <c r="J14" s="8"/>
      <c r="K14" s="8"/>
      <c r="L14" s="8"/>
      <c r="M14" s="8"/>
    </row>
    <row r="15" spans="1:13" ht="21">
      <c r="A15" s="9" t="s">
        <v>46</v>
      </c>
      <c r="B15" s="268" t="s">
        <v>462</v>
      </c>
      <c r="C15" s="118" t="s">
        <v>303</v>
      </c>
      <c r="D15" s="118">
        <v>1.66</v>
      </c>
      <c r="E15" s="12" t="s">
        <v>300</v>
      </c>
      <c r="F15" s="130"/>
      <c r="G15" s="130"/>
      <c r="H15" s="130"/>
      <c r="I15" s="14" t="s">
        <v>57</v>
      </c>
      <c r="J15" s="14" t="s">
        <v>57</v>
      </c>
      <c r="K15" s="14" t="s">
        <v>58</v>
      </c>
      <c r="L15" s="14" t="s">
        <v>58</v>
      </c>
      <c r="M15" s="14" t="s">
        <v>59</v>
      </c>
    </row>
    <row r="16" spans="1:13" ht="21">
      <c r="A16" s="4"/>
      <c r="B16" s="269"/>
      <c r="C16" s="6"/>
      <c r="D16" s="6"/>
      <c r="E16" s="6" t="s">
        <v>301</v>
      </c>
      <c r="F16" s="8" t="s">
        <v>534</v>
      </c>
      <c r="G16" s="8" t="s">
        <v>520</v>
      </c>
      <c r="H16" s="49" t="s">
        <v>280</v>
      </c>
      <c r="I16" s="134"/>
      <c r="J16" s="134"/>
      <c r="K16" s="134"/>
      <c r="L16" s="134"/>
      <c r="M16" s="134"/>
    </row>
    <row r="17" spans="1:13" ht="21">
      <c r="A17" s="9" t="s">
        <v>67</v>
      </c>
      <c r="B17" s="268" t="s">
        <v>463</v>
      </c>
      <c r="C17" s="118" t="s">
        <v>303</v>
      </c>
      <c r="D17" s="118">
        <v>1.66</v>
      </c>
      <c r="E17" s="12" t="s">
        <v>300</v>
      </c>
      <c r="F17" s="130"/>
      <c r="G17" s="130"/>
      <c r="H17" s="130"/>
      <c r="I17" s="14" t="s">
        <v>76</v>
      </c>
      <c r="J17" s="14" t="s">
        <v>76</v>
      </c>
      <c r="K17" s="14" t="s">
        <v>76</v>
      </c>
      <c r="L17" s="14" t="s">
        <v>76</v>
      </c>
      <c r="M17" s="14" t="s">
        <v>76</v>
      </c>
    </row>
    <row r="18" spans="1:13" ht="21">
      <c r="A18" s="4"/>
      <c r="B18" s="269"/>
      <c r="C18" s="6"/>
      <c r="D18" s="6"/>
      <c r="E18" s="6" t="s">
        <v>301</v>
      </c>
      <c r="F18" s="8" t="s">
        <v>541</v>
      </c>
      <c r="G18" s="8" t="s">
        <v>527</v>
      </c>
      <c r="H18" s="49" t="s">
        <v>288</v>
      </c>
      <c r="I18" s="134"/>
      <c r="J18" s="134"/>
      <c r="K18" s="134"/>
      <c r="L18" s="134"/>
      <c r="M18" s="134"/>
    </row>
    <row r="19" spans="1:13" ht="21">
      <c r="A19" s="9" t="s">
        <v>87</v>
      </c>
      <c r="B19" s="268" t="s">
        <v>464</v>
      </c>
      <c r="C19" s="118" t="s">
        <v>315</v>
      </c>
      <c r="D19" s="118"/>
      <c r="E19" s="12" t="s">
        <v>300</v>
      </c>
      <c r="F19" s="130"/>
      <c r="G19" s="130"/>
      <c r="H19" s="130"/>
      <c r="I19" s="130"/>
      <c r="J19" s="130"/>
      <c r="K19" s="130"/>
      <c r="L19" s="130"/>
      <c r="M19" s="130"/>
    </row>
    <row r="20" spans="1:13" ht="21">
      <c r="A20" s="4"/>
      <c r="B20" s="269"/>
      <c r="C20" s="6"/>
      <c r="D20" s="6"/>
      <c r="E20" s="6" t="s">
        <v>301</v>
      </c>
      <c r="F20" s="134"/>
      <c r="G20" s="134"/>
      <c r="H20" s="134"/>
      <c r="I20" s="134"/>
      <c r="J20" s="134"/>
      <c r="K20" s="134"/>
      <c r="L20" s="134"/>
      <c r="M20" s="134"/>
    </row>
    <row r="21" spans="1:13" ht="21">
      <c r="A21" s="9" t="s">
        <v>96</v>
      </c>
      <c r="B21" s="268" t="s">
        <v>465</v>
      </c>
      <c r="C21" s="118" t="s">
        <v>303</v>
      </c>
      <c r="D21" s="118">
        <v>1.67</v>
      </c>
      <c r="E21" s="12" t="s">
        <v>300</v>
      </c>
      <c r="F21" s="13"/>
      <c r="G21" s="13"/>
      <c r="H21" s="13"/>
      <c r="I21" s="14">
        <v>100</v>
      </c>
      <c r="J21" s="14">
        <v>100</v>
      </c>
      <c r="K21" s="14">
        <v>100</v>
      </c>
      <c r="L21" s="14">
        <v>100</v>
      </c>
      <c r="M21" s="15" t="s">
        <v>98</v>
      </c>
    </row>
    <row r="22" spans="1:13" ht="21">
      <c r="A22" s="4"/>
      <c r="B22" s="269"/>
      <c r="C22" s="6"/>
      <c r="D22" s="6"/>
      <c r="E22" s="6" t="s">
        <v>301</v>
      </c>
      <c r="F22" s="8"/>
      <c r="G22" s="8"/>
      <c r="H22" s="8">
        <v>100</v>
      </c>
      <c r="I22" s="8"/>
      <c r="J22" s="8"/>
      <c r="K22" s="8"/>
      <c r="L22" s="8"/>
      <c r="M22" s="8"/>
    </row>
    <row r="23" spans="1:13" ht="21">
      <c r="A23" s="9" t="s">
        <v>99</v>
      </c>
      <c r="B23" s="268" t="s">
        <v>466</v>
      </c>
      <c r="C23" s="118" t="s">
        <v>299</v>
      </c>
      <c r="D23" s="118">
        <v>1.67</v>
      </c>
      <c r="E23" s="12" t="s">
        <v>300</v>
      </c>
      <c r="F23" s="13"/>
      <c r="G23" s="13"/>
      <c r="H23" s="13"/>
      <c r="I23" s="14">
        <v>4</v>
      </c>
      <c r="J23" s="14">
        <v>4</v>
      </c>
      <c r="K23" s="14">
        <v>4</v>
      </c>
      <c r="L23" s="14">
        <v>4</v>
      </c>
      <c r="M23" s="15" t="s">
        <v>39</v>
      </c>
    </row>
    <row r="24" spans="1:13" ht="21">
      <c r="A24" s="4"/>
      <c r="B24" s="269"/>
      <c r="C24" s="6"/>
      <c r="D24" s="6"/>
      <c r="E24" s="6" t="s">
        <v>301</v>
      </c>
      <c r="F24" s="30">
        <v>4.295</v>
      </c>
      <c r="G24" s="8"/>
      <c r="H24" s="8">
        <v>4.42</v>
      </c>
      <c r="I24" s="8"/>
      <c r="J24" s="8"/>
      <c r="K24" s="8"/>
      <c r="L24" s="8"/>
      <c r="M24" s="8"/>
    </row>
    <row r="25" spans="1:13" ht="21">
      <c r="A25" s="9" t="s">
        <v>105</v>
      </c>
      <c r="B25" s="268" t="s">
        <v>467</v>
      </c>
      <c r="C25" s="118" t="s">
        <v>325</v>
      </c>
      <c r="D25" s="118"/>
      <c r="E25" s="12" t="s">
        <v>300</v>
      </c>
      <c r="F25" s="13"/>
      <c r="G25" s="13"/>
      <c r="H25" s="13"/>
      <c r="I25" s="13"/>
      <c r="J25" s="13"/>
      <c r="K25" s="13"/>
      <c r="L25" s="13"/>
      <c r="M25" s="136"/>
    </row>
    <row r="26" spans="1:13" ht="21">
      <c r="A26" s="4"/>
      <c r="B26" s="269"/>
      <c r="C26" s="6"/>
      <c r="D26" s="6"/>
      <c r="E26" s="6" t="s">
        <v>301</v>
      </c>
      <c r="F26" s="8"/>
      <c r="G26" s="8"/>
      <c r="H26" s="8"/>
      <c r="I26" s="8"/>
      <c r="J26" s="8"/>
      <c r="K26" s="8"/>
      <c r="L26" s="8"/>
      <c r="M26" s="8"/>
    </row>
    <row r="27" spans="1:13" ht="21">
      <c r="A27" s="9" t="s">
        <v>109</v>
      </c>
      <c r="B27" s="268" t="s">
        <v>468</v>
      </c>
      <c r="C27" s="118" t="s">
        <v>303</v>
      </c>
      <c r="D27" s="118">
        <v>1.67</v>
      </c>
      <c r="E27" s="12" t="s">
        <v>300</v>
      </c>
      <c r="F27" s="13"/>
      <c r="G27" s="13"/>
      <c r="H27" s="13"/>
      <c r="I27" s="14">
        <v>45</v>
      </c>
      <c r="J27" s="14">
        <v>45</v>
      </c>
      <c r="K27" s="14">
        <v>50</v>
      </c>
      <c r="L27" s="14">
        <v>50</v>
      </c>
      <c r="M27" s="15" t="s">
        <v>113</v>
      </c>
    </row>
    <row r="28" spans="1:13" ht="21">
      <c r="A28" s="4"/>
      <c r="B28" s="269"/>
      <c r="C28" s="6"/>
      <c r="D28" s="6"/>
      <c r="E28" s="6" t="s">
        <v>301</v>
      </c>
      <c r="F28" s="30">
        <v>48.148148148148145</v>
      </c>
      <c r="G28" s="30">
        <v>38.46153846153847</v>
      </c>
      <c r="H28" s="30">
        <v>46.51162790697674</v>
      </c>
      <c r="I28" s="127"/>
      <c r="J28" s="8"/>
      <c r="K28" s="8"/>
      <c r="L28" s="8"/>
      <c r="M28" s="8"/>
    </row>
    <row r="29" spans="1:13" ht="21">
      <c r="A29" s="122" t="s">
        <v>328</v>
      </c>
      <c r="B29" s="123"/>
      <c r="C29" s="124"/>
      <c r="D29" s="124">
        <v>13.32</v>
      </c>
      <c r="E29" s="124"/>
      <c r="F29" s="124"/>
      <c r="G29" s="124"/>
      <c r="H29" s="124"/>
      <c r="I29" s="124"/>
      <c r="J29" s="124"/>
      <c r="K29" s="124"/>
      <c r="L29" s="124"/>
      <c r="M29" s="124"/>
    </row>
    <row r="30" spans="1:13" ht="21">
      <c r="A30" s="9" t="s">
        <v>115</v>
      </c>
      <c r="B30" s="270" t="s">
        <v>469</v>
      </c>
      <c r="C30" s="118" t="s">
        <v>303</v>
      </c>
      <c r="D30" s="118">
        <v>3.33</v>
      </c>
      <c r="E30" s="6" t="s">
        <v>300</v>
      </c>
      <c r="F30" s="140"/>
      <c r="G30" s="140"/>
      <c r="H30" s="140"/>
      <c r="I30" s="101">
        <v>80</v>
      </c>
      <c r="J30" s="101">
        <v>80</v>
      </c>
      <c r="K30" s="101">
        <v>80</v>
      </c>
      <c r="L30" s="101">
        <v>80</v>
      </c>
      <c r="M30" s="101">
        <v>80</v>
      </c>
    </row>
    <row r="31" spans="1:13" ht="21">
      <c r="A31" s="4"/>
      <c r="B31" s="269"/>
      <c r="C31" s="6"/>
      <c r="D31" s="6"/>
      <c r="E31" s="6" t="s">
        <v>301</v>
      </c>
      <c r="F31" s="8"/>
      <c r="G31" s="8"/>
      <c r="H31" s="8"/>
      <c r="I31" s="134"/>
      <c r="J31" s="134"/>
      <c r="K31" s="134"/>
      <c r="L31" s="134"/>
      <c r="M31" s="134"/>
    </row>
    <row r="32" spans="1:13" ht="21">
      <c r="A32" s="9" t="s">
        <v>117</v>
      </c>
      <c r="B32" s="268" t="s">
        <v>470</v>
      </c>
      <c r="C32" s="118" t="s">
        <v>303</v>
      </c>
      <c r="D32" s="118">
        <v>3.33</v>
      </c>
      <c r="E32" s="12" t="s">
        <v>300</v>
      </c>
      <c r="F32" s="13"/>
      <c r="G32" s="13"/>
      <c r="H32" s="13"/>
      <c r="I32" s="14">
        <v>100</v>
      </c>
      <c r="J32" s="14">
        <v>100</v>
      </c>
      <c r="K32" s="14">
        <v>100</v>
      </c>
      <c r="L32" s="14">
        <v>100</v>
      </c>
      <c r="M32" s="14">
        <v>100</v>
      </c>
    </row>
    <row r="33" spans="1:13" ht="21">
      <c r="A33" s="4"/>
      <c r="B33" s="269"/>
      <c r="C33" s="6"/>
      <c r="D33" s="6"/>
      <c r="E33" s="6" t="s">
        <v>301</v>
      </c>
      <c r="F33" s="30">
        <v>150</v>
      </c>
      <c r="G33" s="8"/>
      <c r="H33" s="30">
        <v>80</v>
      </c>
      <c r="I33" s="127"/>
      <c r="J33" s="8"/>
      <c r="K33" s="8"/>
      <c r="L33" s="8"/>
      <c r="M33" s="8"/>
    </row>
    <row r="34" spans="1:13" ht="21">
      <c r="A34" s="9" t="s">
        <v>123</v>
      </c>
      <c r="B34" s="268" t="s">
        <v>471</v>
      </c>
      <c r="C34" s="118" t="s">
        <v>303</v>
      </c>
      <c r="D34" s="118"/>
      <c r="E34" s="12" t="s">
        <v>300</v>
      </c>
      <c r="F34" s="13"/>
      <c r="G34" s="13"/>
      <c r="H34" s="13"/>
      <c r="I34" s="13"/>
      <c r="J34" s="13"/>
      <c r="K34" s="13"/>
      <c r="L34" s="13"/>
      <c r="M34" s="136"/>
    </row>
    <row r="35" spans="1:13" ht="21">
      <c r="A35" s="4"/>
      <c r="B35" s="269"/>
      <c r="C35" s="6"/>
      <c r="D35" s="6"/>
      <c r="E35" s="6" t="s">
        <v>301</v>
      </c>
      <c r="F35" s="8"/>
      <c r="G35" s="8"/>
      <c r="H35" s="8"/>
      <c r="I35" s="8"/>
      <c r="J35" s="8"/>
      <c r="K35" s="8"/>
      <c r="L35" s="8"/>
      <c r="M35" s="8"/>
    </row>
    <row r="36" spans="1:13" ht="21">
      <c r="A36" s="9" t="s">
        <v>125</v>
      </c>
      <c r="B36" s="268" t="s">
        <v>472</v>
      </c>
      <c r="C36" s="118" t="s">
        <v>303</v>
      </c>
      <c r="D36" s="118">
        <v>3.33</v>
      </c>
      <c r="E36" s="12" t="s">
        <v>300</v>
      </c>
      <c r="F36" s="13"/>
      <c r="G36" s="13"/>
      <c r="H36" s="13"/>
      <c r="I36" s="14">
        <v>10</v>
      </c>
      <c r="J36" s="14">
        <v>10</v>
      </c>
      <c r="K36" s="14">
        <v>10</v>
      </c>
      <c r="L36" s="14">
        <v>10</v>
      </c>
      <c r="M36" s="14">
        <v>10</v>
      </c>
    </row>
    <row r="37" spans="1:13" ht="21">
      <c r="A37" s="4"/>
      <c r="B37" s="269"/>
      <c r="C37" s="6"/>
      <c r="D37" s="6"/>
      <c r="E37" s="6" t="s">
        <v>301</v>
      </c>
      <c r="F37" s="8"/>
      <c r="G37" s="8"/>
      <c r="H37" s="30">
        <v>15</v>
      </c>
      <c r="I37" s="8"/>
      <c r="J37" s="8"/>
      <c r="K37" s="8"/>
      <c r="L37" s="8"/>
      <c r="M37" s="8"/>
    </row>
    <row r="38" spans="1:13" ht="21">
      <c r="A38" s="9" t="s">
        <v>130</v>
      </c>
      <c r="B38" s="268" t="s">
        <v>473</v>
      </c>
      <c r="C38" s="118" t="s">
        <v>303</v>
      </c>
      <c r="D38" s="118">
        <v>3.33</v>
      </c>
      <c r="E38" s="12" t="s">
        <v>300</v>
      </c>
      <c r="F38" s="13"/>
      <c r="G38" s="13"/>
      <c r="H38" s="13"/>
      <c r="I38" s="14">
        <v>100</v>
      </c>
      <c r="J38" s="14">
        <v>100</v>
      </c>
      <c r="K38" s="14">
        <v>100</v>
      </c>
      <c r="L38" s="14">
        <v>100</v>
      </c>
      <c r="M38" s="14">
        <v>100</v>
      </c>
    </row>
    <row r="39" spans="1:13" ht="21">
      <c r="A39" s="4"/>
      <c r="B39" s="269"/>
      <c r="C39" s="6"/>
      <c r="D39" s="6"/>
      <c r="E39" s="6" t="s">
        <v>301</v>
      </c>
      <c r="F39" s="8"/>
      <c r="G39" s="8"/>
      <c r="H39" s="8">
        <v>100</v>
      </c>
      <c r="I39" s="8"/>
      <c r="J39" s="8"/>
      <c r="K39" s="8"/>
      <c r="L39" s="8"/>
      <c r="M39" s="8"/>
    </row>
    <row r="40" spans="1:13" ht="21">
      <c r="A40" s="119" t="s">
        <v>335</v>
      </c>
      <c r="B40" s="268" t="s">
        <v>474</v>
      </c>
      <c r="C40" s="120" t="s">
        <v>303</v>
      </c>
      <c r="D40" s="120"/>
      <c r="E40" s="12" t="s">
        <v>300</v>
      </c>
      <c r="F40" s="13"/>
      <c r="G40" s="13"/>
      <c r="H40" s="13"/>
      <c r="I40" s="13"/>
      <c r="J40" s="13"/>
      <c r="K40" s="13"/>
      <c r="L40" s="13"/>
      <c r="M40" s="136"/>
    </row>
    <row r="41" spans="1:13" ht="21">
      <c r="A41" s="18"/>
      <c r="B41" s="278"/>
      <c r="C41" s="20"/>
      <c r="D41" s="20"/>
      <c r="E41" s="20" t="s">
        <v>301</v>
      </c>
      <c r="F41" s="22"/>
      <c r="G41" s="22"/>
      <c r="H41" s="22"/>
      <c r="I41" s="22"/>
      <c r="J41" s="22"/>
      <c r="K41" s="22"/>
      <c r="L41" s="22"/>
      <c r="M41" s="22"/>
    </row>
    <row r="42" spans="1:13" ht="21">
      <c r="A42" s="115" t="s">
        <v>132</v>
      </c>
      <c r="B42" s="116"/>
      <c r="C42" s="117"/>
      <c r="D42" s="117">
        <v>10</v>
      </c>
      <c r="E42" s="117"/>
      <c r="F42" s="117"/>
      <c r="G42" s="117"/>
      <c r="H42" s="117"/>
      <c r="I42" s="117"/>
      <c r="J42" s="117"/>
      <c r="K42" s="117"/>
      <c r="L42" s="117"/>
      <c r="M42" s="117"/>
    </row>
    <row r="43" spans="1:13" ht="21">
      <c r="A43" s="9" t="s">
        <v>138</v>
      </c>
      <c r="B43" s="270" t="s">
        <v>475</v>
      </c>
      <c r="C43" s="118" t="s">
        <v>303</v>
      </c>
      <c r="D43" s="118">
        <v>5</v>
      </c>
      <c r="E43" s="6" t="s">
        <v>300</v>
      </c>
      <c r="F43" s="7"/>
      <c r="G43" s="7"/>
      <c r="H43" s="7"/>
      <c r="I43" s="8">
        <v>60</v>
      </c>
      <c r="J43" s="8">
        <v>65</v>
      </c>
      <c r="K43" s="8">
        <v>70</v>
      </c>
      <c r="L43" s="8">
        <v>75</v>
      </c>
      <c r="M43" s="24" t="s">
        <v>120</v>
      </c>
    </row>
    <row r="44" spans="1:13" ht="21">
      <c r="A44" s="4"/>
      <c r="B44" s="269"/>
      <c r="C44" s="6"/>
      <c r="D44" s="6"/>
      <c r="E44" s="6" t="s">
        <v>301</v>
      </c>
      <c r="F44" s="8"/>
      <c r="G44" s="8"/>
      <c r="H44" s="8">
        <v>86.79</v>
      </c>
      <c r="I44" s="8"/>
      <c r="J44" s="8"/>
      <c r="K44" s="8"/>
      <c r="L44" s="8"/>
      <c r="M44" s="8"/>
    </row>
    <row r="45" spans="1:13" ht="21">
      <c r="A45" s="119" t="s">
        <v>141</v>
      </c>
      <c r="B45" s="268" t="s">
        <v>476</v>
      </c>
      <c r="C45" s="120" t="s">
        <v>303</v>
      </c>
      <c r="D45" s="120">
        <v>5</v>
      </c>
      <c r="E45" s="12" t="s">
        <v>300</v>
      </c>
      <c r="F45" s="130"/>
      <c r="G45" s="130"/>
      <c r="H45" s="130"/>
      <c r="I45" s="14">
        <v>99</v>
      </c>
      <c r="J45" s="14">
        <v>99</v>
      </c>
      <c r="K45" s="14">
        <v>99</v>
      </c>
      <c r="L45" s="14">
        <v>99</v>
      </c>
      <c r="M45" s="14">
        <v>99</v>
      </c>
    </row>
    <row r="46" spans="1:13" ht="21">
      <c r="A46" s="18"/>
      <c r="B46" s="278"/>
      <c r="C46" s="20"/>
      <c r="D46" s="20"/>
      <c r="E46" s="20" t="s">
        <v>301</v>
      </c>
      <c r="F46" s="22"/>
      <c r="G46" s="22"/>
      <c r="H46" s="51">
        <v>99.23076923076923</v>
      </c>
      <c r="I46" s="131"/>
      <c r="J46" s="131"/>
      <c r="K46" s="131"/>
      <c r="L46" s="131"/>
      <c r="M46" s="131"/>
    </row>
    <row r="47" spans="1:13" ht="21">
      <c r="A47" s="115" t="s">
        <v>143</v>
      </c>
      <c r="B47" s="116"/>
      <c r="C47" s="117"/>
      <c r="D47" s="117">
        <v>10</v>
      </c>
      <c r="E47" s="117"/>
      <c r="F47" s="117"/>
      <c r="G47" s="117"/>
      <c r="H47" s="117"/>
      <c r="I47" s="117"/>
      <c r="J47" s="117"/>
      <c r="K47" s="117"/>
      <c r="L47" s="117"/>
      <c r="M47" s="117"/>
    </row>
    <row r="48" spans="1:13" ht="21">
      <c r="A48" s="9" t="s">
        <v>149</v>
      </c>
      <c r="B48" s="270" t="s">
        <v>477</v>
      </c>
      <c r="C48" s="118" t="s">
        <v>348</v>
      </c>
      <c r="D48" s="118">
        <v>3</v>
      </c>
      <c r="E48" s="6" t="s">
        <v>300</v>
      </c>
      <c r="F48" s="7"/>
      <c r="G48" s="7"/>
      <c r="H48" s="7"/>
      <c r="I48" s="31">
        <v>80000</v>
      </c>
      <c r="J48" s="31">
        <v>80000</v>
      </c>
      <c r="K48" s="31">
        <v>80000</v>
      </c>
      <c r="L48" s="31">
        <v>80000</v>
      </c>
      <c r="M48" s="31">
        <v>80000</v>
      </c>
    </row>
    <row r="49" spans="1:13" ht="21">
      <c r="A49" s="4"/>
      <c r="B49" s="269"/>
      <c r="C49" s="6"/>
      <c r="D49" s="6"/>
      <c r="E49" s="6" t="s">
        <v>301</v>
      </c>
      <c r="F49" s="8"/>
      <c r="G49" s="8"/>
      <c r="H49" s="31">
        <v>231795.7991053032</v>
      </c>
      <c r="I49" s="31"/>
      <c r="J49" s="8"/>
      <c r="K49" s="8"/>
      <c r="L49" s="8"/>
      <c r="M49" s="8"/>
    </row>
    <row r="50" spans="1:13" ht="21">
      <c r="A50" s="9" t="s">
        <v>151</v>
      </c>
      <c r="B50" s="268" t="s">
        <v>478</v>
      </c>
      <c r="C50" s="118" t="s">
        <v>303</v>
      </c>
      <c r="D50" s="118">
        <v>3</v>
      </c>
      <c r="E50" s="12" t="s">
        <v>300</v>
      </c>
      <c r="F50" s="13"/>
      <c r="G50" s="13"/>
      <c r="H50" s="13"/>
      <c r="I50" s="14">
        <v>130</v>
      </c>
      <c r="J50" s="14">
        <v>140</v>
      </c>
      <c r="K50" s="14">
        <v>150</v>
      </c>
      <c r="L50" s="14">
        <v>150</v>
      </c>
      <c r="M50" s="15" t="s">
        <v>153</v>
      </c>
    </row>
    <row r="51" spans="1:13" ht="42" customHeight="1">
      <c r="A51" s="4"/>
      <c r="B51" s="269"/>
      <c r="C51" s="6"/>
      <c r="D51" s="6"/>
      <c r="E51" s="6" t="s">
        <v>301</v>
      </c>
      <c r="F51" s="49">
        <v>59.31818181818183</v>
      </c>
      <c r="G51" s="30">
        <v>86.34146341463415</v>
      </c>
      <c r="H51" s="49">
        <v>147.36363636363637</v>
      </c>
      <c r="I51" s="30"/>
      <c r="J51" s="8"/>
      <c r="K51" s="8"/>
      <c r="L51" s="8"/>
      <c r="M51" s="8"/>
    </row>
    <row r="52" spans="1:13" ht="21">
      <c r="A52" s="9" t="s">
        <v>154</v>
      </c>
      <c r="B52" s="268" t="s">
        <v>479</v>
      </c>
      <c r="C52" s="118" t="s">
        <v>348</v>
      </c>
      <c r="D52" s="118">
        <v>3</v>
      </c>
      <c r="E52" s="12" t="s">
        <v>300</v>
      </c>
      <c r="F52" s="43"/>
      <c r="G52" s="43"/>
      <c r="H52" s="43"/>
      <c r="I52" s="40">
        <v>30000</v>
      </c>
      <c r="J52" s="40">
        <v>30000</v>
      </c>
      <c r="K52" s="40">
        <v>30000</v>
      </c>
      <c r="L52" s="40">
        <v>30000</v>
      </c>
      <c r="M52" s="40">
        <v>30000</v>
      </c>
    </row>
    <row r="53" spans="1:13" ht="21">
      <c r="A53" s="4"/>
      <c r="B53" s="269"/>
      <c r="C53" s="6"/>
      <c r="D53" s="6"/>
      <c r="E53" s="6" t="s">
        <v>301</v>
      </c>
      <c r="F53" s="31"/>
      <c r="G53" s="31" t="s">
        <v>21</v>
      </c>
      <c r="H53" s="31">
        <v>47283.79152954545</v>
      </c>
      <c r="I53" s="31"/>
      <c r="J53" s="31"/>
      <c r="K53" s="31"/>
      <c r="L53" s="31"/>
      <c r="M53" s="31"/>
    </row>
    <row r="54" spans="1:13" ht="21">
      <c r="A54" s="9" t="s">
        <v>156</v>
      </c>
      <c r="B54" s="268" t="s">
        <v>480</v>
      </c>
      <c r="C54" s="118" t="s">
        <v>348</v>
      </c>
      <c r="D54" s="118">
        <v>3</v>
      </c>
      <c r="E54" s="12" t="s">
        <v>300</v>
      </c>
      <c r="F54" s="43"/>
      <c r="G54" s="43"/>
      <c r="H54" s="43"/>
      <c r="I54" s="40">
        <v>50000</v>
      </c>
      <c r="J54" s="40">
        <v>50000</v>
      </c>
      <c r="K54" s="40">
        <v>50000</v>
      </c>
      <c r="L54" s="40">
        <v>50000</v>
      </c>
      <c r="M54" s="40">
        <v>50000</v>
      </c>
    </row>
    <row r="55" spans="1:13" ht="21">
      <c r="A55" s="4"/>
      <c r="B55" s="269"/>
      <c r="C55" s="6"/>
      <c r="D55" s="6"/>
      <c r="E55" s="6" t="s">
        <v>301</v>
      </c>
      <c r="F55" s="167"/>
      <c r="G55" s="167" t="s">
        <v>21</v>
      </c>
      <c r="H55" s="31">
        <v>184512.0075757577</v>
      </c>
      <c r="I55" s="31"/>
      <c r="J55" s="31"/>
      <c r="K55" s="31"/>
      <c r="L55" s="31"/>
      <c r="M55" s="31"/>
    </row>
    <row r="56" spans="1:13" ht="21">
      <c r="A56" s="9" t="s">
        <v>158</v>
      </c>
      <c r="B56" s="268" t="s">
        <v>481</v>
      </c>
      <c r="C56" s="118" t="s">
        <v>303</v>
      </c>
      <c r="D56" s="118">
        <v>3</v>
      </c>
      <c r="E56" s="12" t="s">
        <v>300</v>
      </c>
      <c r="F56" s="13"/>
      <c r="G56" s="13"/>
      <c r="H56" s="13"/>
      <c r="I56" s="14">
        <v>25</v>
      </c>
      <c r="J56" s="14">
        <v>25</v>
      </c>
      <c r="K56" s="14">
        <v>25</v>
      </c>
      <c r="L56" s="14">
        <v>25</v>
      </c>
      <c r="M56" s="15" t="s">
        <v>160</v>
      </c>
    </row>
    <row r="57" spans="1:13" ht="21">
      <c r="A57" s="4"/>
      <c r="B57" s="269"/>
      <c r="C57" s="6"/>
      <c r="D57" s="6"/>
      <c r="E57" s="6" t="s">
        <v>301</v>
      </c>
      <c r="F57" s="170">
        <v>22.727</v>
      </c>
      <c r="G57" s="104">
        <v>19.51</v>
      </c>
      <c r="H57" s="133">
        <v>45.45</v>
      </c>
      <c r="I57" s="127"/>
      <c r="J57" s="8"/>
      <c r="K57" s="8"/>
      <c r="L57" s="8"/>
      <c r="M57" s="8"/>
    </row>
    <row r="58" spans="1:13" ht="21">
      <c r="A58" s="9" t="s">
        <v>161</v>
      </c>
      <c r="B58" s="268" t="s">
        <v>482</v>
      </c>
      <c r="C58" s="118" t="s">
        <v>303</v>
      </c>
      <c r="D58" s="118">
        <v>3</v>
      </c>
      <c r="E58" s="12" t="s">
        <v>300</v>
      </c>
      <c r="F58" s="13"/>
      <c r="G58" s="13"/>
      <c r="H58" s="13"/>
      <c r="I58" s="14">
        <v>30</v>
      </c>
      <c r="J58" s="14">
        <v>30</v>
      </c>
      <c r="K58" s="14">
        <v>30</v>
      </c>
      <c r="L58" s="14">
        <v>30</v>
      </c>
      <c r="M58" s="15" t="s">
        <v>163</v>
      </c>
    </row>
    <row r="59" spans="1:13" ht="21">
      <c r="A59" s="4"/>
      <c r="B59" s="269"/>
      <c r="C59" s="6"/>
      <c r="D59" s="6"/>
      <c r="E59" s="6" t="s">
        <v>301</v>
      </c>
      <c r="F59" s="30">
        <v>27.273</v>
      </c>
      <c r="G59" s="8">
        <v>29.27</v>
      </c>
      <c r="H59" s="49">
        <v>13.64</v>
      </c>
      <c r="I59" s="127"/>
      <c r="J59" s="8"/>
      <c r="K59" s="8"/>
      <c r="L59" s="8"/>
      <c r="M59" s="8"/>
    </row>
    <row r="60" spans="1:13" ht="21">
      <c r="A60" s="9" t="s">
        <v>165</v>
      </c>
      <c r="B60" s="268" t="s">
        <v>483</v>
      </c>
      <c r="C60" s="118" t="s">
        <v>303</v>
      </c>
      <c r="D60" s="118">
        <v>3</v>
      </c>
      <c r="E60" s="12" t="s">
        <v>300</v>
      </c>
      <c r="F60" s="13"/>
      <c r="G60" s="13"/>
      <c r="H60" s="13"/>
      <c r="I60" s="14">
        <v>10</v>
      </c>
      <c r="J60" s="14">
        <v>10</v>
      </c>
      <c r="K60" s="14">
        <v>10</v>
      </c>
      <c r="L60" s="14">
        <v>10</v>
      </c>
      <c r="M60" s="15" t="s">
        <v>167</v>
      </c>
    </row>
    <row r="61" spans="1:13" ht="21">
      <c r="A61" s="4"/>
      <c r="B61" s="269"/>
      <c r="C61" s="6"/>
      <c r="D61" s="6"/>
      <c r="E61" s="6" t="s">
        <v>301</v>
      </c>
      <c r="F61" s="30">
        <v>6.8181818181818175</v>
      </c>
      <c r="G61" s="49">
        <v>18.536585365853657</v>
      </c>
      <c r="H61" s="30">
        <v>9.09</v>
      </c>
      <c r="I61" s="30"/>
      <c r="J61" s="8"/>
      <c r="K61" s="8"/>
      <c r="L61" s="8"/>
      <c r="M61" s="8"/>
    </row>
    <row r="62" spans="1:13" ht="21">
      <c r="A62" s="9" t="s">
        <v>169</v>
      </c>
      <c r="B62" s="268" t="s">
        <v>355</v>
      </c>
      <c r="C62" s="118" t="s">
        <v>303</v>
      </c>
      <c r="D62" s="118">
        <v>3</v>
      </c>
      <c r="E62" s="12" t="s">
        <v>300</v>
      </c>
      <c r="F62" s="13"/>
      <c r="G62" s="13"/>
      <c r="H62" s="13"/>
      <c r="I62" s="14">
        <v>50</v>
      </c>
      <c r="J62" s="14">
        <v>55</v>
      </c>
      <c r="K62" s="14">
        <v>60</v>
      </c>
      <c r="L62" s="14">
        <v>60</v>
      </c>
      <c r="M62" s="15" t="s">
        <v>164</v>
      </c>
    </row>
    <row r="63" spans="1:13" ht="21">
      <c r="A63" s="4"/>
      <c r="B63" s="269"/>
      <c r="C63" s="6"/>
      <c r="D63" s="6"/>
      <c r="E63" s="6" t="s">
        <v>301</v>
      </c>
      <c r="F63" s="8"/>
      <c r="G63" s="8">
        <v>39</v>
      </c>
      <c r="H63" s="8">
        <v>43</v>
      </c>
      <c r="I63" s="127"/>
      <c r="J63" s="8"/>
      <c r="K63" s="8"/>
      <c r="L63" s="8"/>
      <c r="M63" s="8"/>
    </row>
    <row r="64" spans="1:13" ht="21">
      <c r="A64" s="122" t="s">
        <v>359</v>
      </c>
      <c r="B64" s="123"/>
      <c r="C64" s="124"/>
      <c r="D64" s="124">
        <v>10</v>
      </c>
      <c r="E64" s="124"/>
      <c r="F64" s="124"/>
      <c r="G64" s="124"/>
      <c r="H64" s="124"/>
      <c r="I64" s="124"/>
      <c r="J64" s="124"/>
      <c r="K64" s="124"/>
      <c r="L64" s="124"/>
      <c r="M64" s="124"/>
    </row>
    <row r="65" spans="1:13" ht="21">
      <c r="A65" s="9" t="s">
        <v>172</v>
      </c>
      <c r="B65" s="283" t="s">
        <v>484</v>
      </c>
      <c r="C65" s="118" t="s">
        <v>303</v>
      </c>
      <c r="D65" s="118">
        <v>10</v>
      </c>
      <c r="E65" s="6" t="s">
        <v>300</v>
      </c>
      <c r="F65" s="7"/>
      <c r="G65" s="7"/>
      <c r="H65" s="7"/>
      <c r="I65" s="8">
        <v>30</v>
      </c>
      <c r="J65" s="8">
        <v>32</v>
      </c>
      <c r="K65" s="8">
        <v>34</v>
      </c>
      <c r="L65" s="8">
        <v>34</v>
      </c>
      <c r="M65" s="24" t="s">
        <v>175</v>
      </c>
    </row>
    <row r="66" spans="1:13" ht="21">
      <c r="A66" s="18"/>
      <c r="B66" s="278"/>
      <c r="C66" s="20"/>
      <c r="D66" s="20"/>
      <c r="E66" s="20" t="s">
        <v>301</v>
      </c>
      <c r="F66" s="51">
        <v>25</v>
      </c>
      <c r="G66" s="51">
        <v>35.55555555555556</v>
      </c>
      <c r="H66" s="51">
        <v>37.5</v>
      </c>
      <c r="I66" s="51"/>
      <c r="J66" s="22"/>
      <c r="K66" s="22"/>
      <c r="L66" s="22"/>
      <c r="M66" s="22"/>
    </row>
    <row r="67" spans="1:13" ht="21">
      <c r="A67" s="115" t="s">
        <v>179</v>
      </c>
      <c r="B67" s="116"/>
      <c r="C67" s="117"/>
      <c r="D67" s="117">
        <v>5</v>
      </c>
      <c r="E67" s="117"/>
      <c r="F67" s="117"/>
      <c r="G67" s="117"/>
      <c r="H67" s="117"/>
      <c r="I67" s="117"/>
      <c r="J67" s="117"/>
      <c r="K67" s="117"/>
      <c r="L67" s="117"/>
      <c r="M67" s="117"/>
    </row>
    <row r="68" spans="1:13" ht="21">
      <c r="A68" s="9" t="s">
        <v>182</v>
      </c>
      <c r="B68" s="270" t="s">
        <v>485</v>
      </c>
      <c r="C68" s="118" t="s">
        <v>303</v>
      </c>
      <c r="D68" s="118">
        <v>2.5</v>
      </c>
      <c r="E68" s="6" t="s">
        <v>300</v>
      </c>
      <c r="F68" s="7"/>
      <c r="G68" s="7"/>
      <c r="H68" s="7"/>
      <c r="I68" s="8">
        <v>35</v>
      </c>
      <c r="J68" s="8">
        <v>35</v>
      </c>
      <c r="K68" s="8">
        <v>35</v>
      </c>
      <c r="L68" s="8">
        <v>35</v>
      </c>
      <c r="M68" s="24" t="s">
        <v>187</v>
      </c>
    </row>
    <row r="69" spans="1:13" ht="42" customHeight="1">
      <c r="A69" s="4"/>
      <c r="B69" s="269"/>
      <c r="C69" s="6"/>
      <c r="D69" s="6"/>
      <c r="E69" s="6" t="s">
        <v>301</v>
      </c>
      <c r="F69" s="30">
        <v>20.833333333333336</v>
      </c>
      <c r="G69" s="127">
        <v>44.44444444444444</v>
      </c>
      <c r="H69" s="8" t="s">
        <v>186</v>
      </c>
      <c r="I69" s="127"/>
      <c r="J69" s="8"/>
      <c r="K69" s="8"/>
      <c r="L69" s="8"/>
      <c r="M69" s="8"/>
    </row>
    <row r="70" spans="1:13" ht="21">
      <c r="A70" s="9" t="s">
        <v>189</v>
      </c>
      <c r="B70" s="268" t="s">
        <v>486</v>
      </c>
      <c r="C70" s="118" t="s">
        <v>303</v>
      </c>
      <c r="D70" s="118">
        <v>2.5</v>
      </c>
      <c r="E70" s="12" t="s">
        <v>300</v>
      </c>
      <c r="F70" s="13"/>
      <c r="G70" s="13"/>
      <c r="H70" s="13"/>
      <c r="I70" s="224">
        <v>60</v>
      </c>
      <c r="J70" s="224">
        <v>60</v>
      </c>
      <c r="K70" s="224">
        <v>65</v>
      </c>
      <c r="L70" s="224">
        <v>65</v>
      </c>
      <c r="M70" s="224">
        <v>65</v>
      </c>
    </row>
    <row r="71" spans="1:13" ht="21">
      <c r="A71" s="4"/>
      <c r="B71" s="269"/>
      <c r="C71" s="6"/>
      <c r="D71" s="6"/>
      <c r="E71" s="6" t="s">
        <v>301</v>
      </c>
      <c r="F71" s="176">
        <f>16/22*100</f>
        <v>72.72727272727273</v>
      </c>
      <c r="G71" s="175">
        <f>17/20.5*100</f>
        <v>82.92682926829268</v>
      </c>
      <c r="H71" s="175">
        <f>15/22*100</f>
        <v>68.18181818181817</v>
      </c>
      <c r="I71" s="49"/>
      <c r="J71" s="8"/>
      <c r="K71" s="8"/>
      <c r="L71" s="8"/>
      <c r="M71" s="8"/>
    </row>
    <row r="72" spans="1:13" ht="21">
      <c r="A72" s="9" t="s">
        <v>191</v>
      </c>
      <c r="B72" s="268" t="s">
        <v>487</v>
      </c>
      <c r="C72" s="118" t="s">
        <v>303</v>
      </c>
      <c r="D72" s="118"/>
      <c r="E72" s="12" t="s">
        <v>300</v>
      </c>
      <c r="F72" s="130"/>
      <c r="G72" s="130"/>
      <c r="H72" s="130"/>
      <c r="I72" s="130"/>
      <c r="J72" s="130"/>
      <c r="K72" s="130"/>
      <c r="L72" s="130"/>
      <c r="M72" s="130"/>
    </row>
    <row r="73" spans="1:13" ht="21">
      <c r="A73" s="4"/>
      <c r="B73" s="269"/>
      <c r="C73" s="6"/>
      <c r="D73" s="6"/>
      <c r="E73" s="6" t="s">
        <v>301</v>
      </c>
      <c r="F73" s="134"/>
      <c r="G73" s="134"/>
      <c r="H73" s="134"/>
      <c r="I73" s="134"/>
      <c r="J73" s="134"/>
      <c r="K73" s="134"/>
      <c r="L73" s="134"/>
      <c r="M73" s="134"/>
    </row>
    <row r="74" spans="1:13" ht="21">
      <c r="A74" s="119" t="s">
        <v>199</v>
      </c>
      <c r="B74" s="268" t="s">
        <v>488</v>
      </c>
      <c r="C74" s="120" t="s">
        <v>303</v>
      </c>
      <c r="D74" s="120"/>
      <c r="E74" s="12" t="s">
        <v>300</v>
      </c>
      <c r="F74" s="13"/>
      <c r="G74" s="13"/>
      <c r="H74" s="13"/>
      <c r="I74" s="13"/>
      <c r="J74" s="13"/>
      <c r="K74" s="13"/>
      <c r="L74" s="13"/>
      <c r="M74" s="136"/>
    </row>
    <row r="75" spans="1:13" ht="21">
      <c r="A75" s="18"/>
      <c r="B75" s="278"/>
      <c r="C75" s="20"/>
      <c r="D75" s="20"/>
      <c r="E75" s="20" t="s">
        <v>301</v>
      </c>
      <c r="F75" s="22"/>
      <c r="G75" s="22"/>
      <c r="H75" s="22"/>
      <c r="I75" s="22"/>
      <c r="J75" s="22"/>
      <c r="K75" s="22"/>
      <c r="L75" s="22"/>
      <c r="M75" s="22"/>
    </row>
    <row r="76" spans="1:13" ht="21">
      <c r="A76" s="115" t="s">
        <v>209</v>
      </c>
      <c r="B76" s="116"/>
      <c r="C76" s="117"/>
      <c r="D76" s="117">
        <v>12.25</v>
      </c>
      <c r="E76" s="117"/>
      <c r="F76" s="117"/>
      <c r="G76" s="117"/>
      <c r="H76" s="117"/>
      <c r="I76" s="117"/>
      <c r="J76" s="117"/>
      <c r="K76" s="117"/>
      <c r="L76" s="117"/>
      <c r="M76" s="117"/>
    </row>
    <row r="77" spans="1:13" ht="21">
      <c r="A77" s="9" t="s">
        <v>210</v>
      </c>
      <c r="B77" s="270" t="s">
        <v>489</v>
      </c>
      <c r="C77" s="118" t="s">
        <v>315</v>
      </c>
      <c r="D77" s="118">
        <v>1.53</v>
      </c>
      <c r="E77" s="6" t="s">
        <v>300</v>
      </c>
      <c r="F77" s="140"/>
      <c r="G77" s="140"/>
      <c r="H77" s="140"/>
      <c r="I77" s="8">
        <v>3</v>
      </c>
      <c r="J77" s="8">
        <v>3</v>
      </c>
      <c r="K77" s="8">
        <v>3</v>
      </c>
      <c r="L77" s="8">
        <v>3</v>
      </c>
      <c r="M77" s="8">
        <v>3</v>
      </c>
    </row>
    <row r="78" spans="1:13" ht="21">
      <c r="A78" s="4"/>
      <c r="B78" s="269"/>
      <c r="C78" s="6"/>
      <c r="D78" s="6"/>
      <c r="E78" s="6" t="s">
        <v>301</v>
      </c>
      <c r="F78" s="8"/>
      <c r="G78" s="8"/>
      <c r="H78" s="8"/>
      <c r="I78" s="134"/>
      <c r="J78" s="134"/>
      <c r="K78" s="134"/>
      <c r="L78" s="134"/>
      <c r="M78" s="134"/>
    </row>
    <row r="79" spans="1:13" ht="21">
      <c r="A79" s="9" t="s">
        <v>212</v>
      </c>
      <c r="B79" s="268" t="s">
        <v>490</v>
      </c>
      <c r="C79" s="118" t="s">
        <v>299</v>
      </c>
      <c r="D79" s="118">
        <v>1.53</v>
      </c>
      <c r="E79" s="12" t="s">
        <v>300</v>
      </c>
      <c r="F79" s="130"/>
      <c r="G79" s="130"/>
      <c r="H79" s="130"/>
      <c r="I79" s="14">
        <v>4</v>
      </c>
      <c r="J79" s="14">
        <v>4</v>
      </c>
      <c r="K79" s="14">
        <v>4</v>
      </c>
      <c r="L79" s="14">
        <v>4</v>
      </c>
      <c r="M79" s="14">
        <v>4</v>
      </c>
    </row>
    <row r="80" spans="1:13" ht="21">
      <c r="A80" s="4"/>
      <c r="B80" s="269"/>
      <c r="C80" s="6"/>
      <c r="D80" s="6"/>
      <c r="E80" s="6" t="s">
        <v>301</v>
      </c>
      <c r="F80" s="8"/>
      <c r="G80" s="8"/>
      <c r="H80" s="8"/>
      <c r="I80" s="134"/>
      <c r="J80" s="134"/>
      <c r="K80" s="134"/>
      <c r="L80" s="134"/>
      <c r="M80" s="134"/>
    </row>
    <row r="81" spans="1:13" ht="21">
      <c r="A81" s="9" t="s">
        <v>216</v>
      </c>
      <c r="B81" s="268" t="s">
        <v>491</v>
      </c>
      <c r="C81" s="118" t="s">
        <v>299</v>
      </c>
      <c r="D81" s="118">
        <v>1.53</v>
      </c>
      <c r="E81" s="12" t="s">
        <v>300</v>
      </c>
      <c r="F81" s="130"/>
      <c r="G81" s="130"/>
      <c r="H81" s="130"/>
      <c r="I81" s="14">
        <v>3</v>
      </c>
      <c r="J81" s="14">
        <v>3</v>
      </c>
      <c r="K81" s="14">
        <v>3</v>
      </c>
      <c r="L81" s="14">
        <v>3</v>
      </c>
      <c r="M81" s="14">
        <v>3</v>
      </c>
    </row>
    <row r="82" spans="1:13" ht="21">
      <c r="A82" s="4"/>
      <c r="B82" s="269"/>
      <c r="C82" s="6"/>
      <c r="D82" s="6"/>
      <c r="E82" s="6" t="s">
        <v>301</v>
      </c>
      <c r="F82" s="8"/>
      <c r="G82" s="8"/>
      <c r="H82" s="8"/>
      <c r="I82" s="134"/>
      <c r="J82" s="134"/>
      <c r="K82" s="134"/>
      <c r="L82" s="134"/>
      <c r="M82" s="134"/>
    </row>
    <row r="83" spans="1:13" ht="21">
      <c r="A83" s="9" t="s">
        <v>225</v>
      </c>
      <c r="B83" s="268" t="s">
        <v>492</v>
      </c>
      <c r="C83" s="118" t="s">
        <v>299</v>
      </c>
      <c r="D83" s="118">
        <v>1.53</v>
      </c>
      <c r="E83" s="12" t="s">
        <v>300</v>
      </c>
      <c r="F83" s="130"/>
      <c r="G83" s="130"/>
      <c r="H83" s="130"/>
      <c r="I83" s="14">
        <v>4</v>
      </c>
      <c r="J83" s="14">
        <v>4</v>
      </c>
      <c r="K83" s="14">
        <v>4</v>
      </c>
      <c r="L83" s="14">
        <v>4</v>
      </c>
      <c r="M83" s="14">
        <v>4</v>
      </c>
    </row>
    <row r="84" spans="1:13" ht="21">
      <c r="A84" s="4"/>
      <c r="B84" s="269"/>
      <c r="C84" s="6"/>
      <c r="D84" s="6"/>
      <c r="E84" s="6" t="s">
        <v>301</v>
      </c>
      <c r="F84" s="8"/>
      <c r="G84" s="8"/>
      <c r="H84" s="8"/>
      <c r="I84" s="134"/>
      <c r="J84" s="134"/>
      <c r="K84" s="134"/>
      <c r="L84" s="134"/>
      <c r="M84" s="134"/>
    </row>
    <row r="85" spans="1:13" ht="21">
      <c r="A85" s="9" t="s">
        <v>229</v>
      </c>
      <c r="B85" s="268" t="s">
        <v>493</v>
      </c>
      <c r="C85" s="118" t="s">
        <v>303</v>
      </c>
      <c r="D85" s="118">
        <v>1.54</v>
      </c>
      <c r="E85" s="12" t="s">
        <v>300</v>
      </c>
      <c r="F85" s="13"/>
      <c r="G85" s="13"/>
      <c r="H85" s="13"/>
      <c r="I85" s="14">
        <v>60</v>
      </c>
      <c r="J85" s="14">
        <v>60</v>
      </c>
      <c r="K85" s="14">
        <v>60</v>
      </c>
      <c r="L85" s="14">
        <v>60</v>
      </c>
      <c r="M85" s="14">
        <v>60</v>
      </c>
    </row>
    <row r="86" spans="1:13" ht="21">
      <c r="A86" s="4"/>
      <c r="B86" s="269"/>
      <c r="C86" s="6"/>
      <c r="D86" s="6"/>
      <c r="E86" s="6" t="s">
        <v>301</v>
      </c>
      <c r="F86" s="30">
        <v>50</v>
      </c>
      <c r="G86" s="8">
        <v>63.41</v>
      </c>
      <c r="H86" s="30">
        <v>68.18181818181817</v>
      </c>
      <c r="I86" s="30"/>
      <c r="J86" s="8"/>
      <c r="K86" s="8"/>
      <c r="L86" s="8"/>
      <c r="M86" s="8"/>
    </row>
    <row r="87" spans="1:13" ht="21">
      <c r="A87" s="9" t="s">
        <v>231</v>
      </c>
      <c r="B87" s="268" t="s">
        <v>494</v>
      </c>
      <c r="C87" s="118" t="s">
        <v>348</v>
      </c>
      <c r="D87" s="118">
        <v>1.53</v>
      </c>
      <c r="E87" s="12" t="s">
        <v>300</v>
      </c>
      <c r="F87" s="13"/>
      <c r="G87" s="13"/>
      <c r="H87" s="13"/>
      <c r="I87" s="40">
        <v>13000</v>
      </c>
      <c r="J87" s="40">
        <v>13000</v>
      </c>
      <c r="K87" s="40">
        <v>13000</v>
      </c>
      <c r="L87" s="40">
        <v>13000</v>
      </c>
      <c r="M87" s="40">
        <v>13000</v>
      </c>
    </row>
    <row r="88" spans="1:13" ht="21">
      <c r="A88" s="4"/>
      <c r="B88" s="269"/>
      <c r="C88" s="6"/>
      <c r="D88" s="6"/>
      <c r="E88" s="6" t="s">
        <v>301</v>
      </c>
      <c r="F88" s="31">
        <v>12582.0625</v>
      </c>
      <c r="G88" s="31">
        <v>18527.36</v>
      </c>
      <c r="H88" s="31">
        <v>53384.76666666666</v>
      </c>
      <c r="I88" s="133"/>
      <c r="J88" s="8"/>
      <c r="K88" s="8"/>
      <c r="L88" s="8"/>
      <c r="M88" s="8"/>
    </row>
    <row r="89" spans="1:13" ht="21">
      <c r="A89" s="9" t="s">
        <v>234</v>
      </c>
      <c r="B89" s="268" t="s">
        <v>495</v>
      </c>
      <c r="C89" s="118" t="s">
        <v>303</v>
      </c>
      <c r="D89" s="118">
        <v>1.53</v>
      </c>
      <c r="E89" s="12" t="s">
        <v>300</v>
      </c>
      <c r="F89" s="13"/>
      <c r="G89" s="13"/>
      <c r="H89" s="13"/>
      <c r="I89" s="14">
        <v>100</v>
      </c>
      <c r="J89" s="14">
        <v>100</v>
      </c>
      <c r="K89" s="14">
        <v>100</v>
      </c>
      <c r="L89" s="14">
        <v>100</v>
      </c>
      <c r="M89" s="14">
        <v>100</v>
      </c>
    </row>
    <row r="90" spans="1:13" ht="21">
      <c r="A90" s="4"/>
      <c r="B90" s="269"/>
      <c r="C90" s="6"/>
      <c r="D90" s="6"/>
      <c r="E90" s="6" t="s">
        <v>301</v>
      </c>
      <c r="F90" s="8">
        <v>100</v>
      </c>
      <c r="G90" s="8">
        <v>100</v>
      </c>
      <c r="H90" s="8">
        <v>100</v>
      </c>
      <c r="I90" s="8"/>
      <c r="J90" s="8"/>
      <c r="K90" s="8"/>
      <c r="L90" s="8"/>
      <c r="M90" s="8"/>
    </row>
    <row r="91" spans="1:13" ht="21">
      <c r="A91" s="9" t="s">
        <v>236</v>
      </c>
      <c r="B91" s="268" t="s">
        <v>496</v>
      </c>
      <c r="C91" s="118" t="s">
        <v>299</v>
      </c>
      <c r="D91" s="118">
        <v>1.53</v>
      </c>
      <c r="E91" s="12" t="s">
        <v>300</v>
      </c>
      <c r="F91" s="130"/>
      <c r="G91" s="130"/>
      <c r="H91" s="130"/>
      <c r="I91" s="14">
        <v>3</v>
      </c>
      <c r="J91" s="14">
        <v>3</v>
      </c>
      <c r="K91" s="14">
        <v>3</v>
      </c>
      <c r="L91" s="14">
        <v>3</v>
      </c>
      <c r="M91" s="14">
        <v>3</v>
      </c>
    </row>
    <row r="92" spans="1:13" ht="21">
      <c r="A92" s="4"/>
      <c r="B92" s="269"/>
      <c r="C92" s="6"/>
      <c r="D92" s="6"/>
      <c r="E92" s="6" t="s">
        <v>301</v>
      </c>
      <c r="F92" s="8"/>
      <c r="G92" s="8"/>
      <c r="H92" s="8"/>
      <c r="I92" s="134"/>
      <c r="J92" s="134"/>
      <c r="K92" s="134"/>
      <c r="L92" s="134"/>
      <c r="M92" s="134"/>
    </row>
    <row r="93" spans="1:13" ht="21">
      <c r="A93" s="119" t="s">
        <v>401</v>
      </c>
      <c r="B93" s="268" t="s">
        <v>500</v>
      </c>
      <c r="C93" s="120" t="s">
        <v>403</v>
      </c>
      <c r="D93" s="120"/>
      <c r="E93" s="12" t="s">
        <v>300</v>
      </c>
      <c r="F93" s="130"/>
      <c r="G93" s="130"/>
      <c r="H93" s="130"/>
      <c r="I93" s="130"/>
      <c r="J93" s="130"/>
      <c r="K93" s="130"/>
      <c r="L93" s="130"/>
      <c r="M93" s="130"/>
    </row>
    <row r="94" spans="1:13" ht="21">
      <c r="A94" s="18"/>
      <c r="B94" s="278"/>
      <c r="C94" s="20"/>
      <c r="D94" s="20"/>
      <c r="E94" s="20" t="s">
        <v>301</v>
      </c>
      <c r="F94" s="131"/>
      <c r="G94" s="131"/>
      <c r="H94" s="131"/>
      <c r="I94" s="131"/>
      <c r="J94" s="131"/>
      <c r="K94" s="131"/>
      <c r="L94" s="131"/>
      <c r="M94" s="131"/>
    </row>
    <row r="95" spans="1:13" ht="21">
      <c r="A95" s="115" t="s">
        <v>251</v>
      </c>
      <c r="B95" s="116"/>
      <c r="C95" s="117"/>
      <c r="D95" s="117">
        <v>0</v>
      </c>
      <c r="E95" s="117"/>
      <c r="F95" s="117"/>
      <c r="G95" s="117"/>
      <c r="H95" s="117"/>
      <c r="I95" s="117"/>
      <c r="J95" s="117"/>
      <c r="K95" s="117"/>
      <c r="L95" s="117"/>
      <c r="M95" s="117"/>
    </row>
    <row r="96" spans="1:13" ht="21">
      <c r="A96" s="9" t="s">
        <v>258</v>
      </c>
      <c r="B96" s="283" t="s">
        <v>501</v>
      </c>
      <c r="C96" s="118" t="s">
        <v>299</v>
      </c>
      <c r="D96" s="118"/>
      <c r="E96" s="6" t="s">
        <v>300</v>
      </c>
      <c r="F96" s="140"/>
      <c r="G96" s="140"/>
      <c r="H96" s="140"/>
      <c r="I96" s="140"/>
      <c r="J96" s="140"/>
      <c r="K96" s="140"/>
      <c r="L96" s="140"/>
      <c r="M96" s="140"/>
    </row>
    <row r="97" spans="1:13" ht="21">
      <c r="A97" s="18"/>
      <c r="B97" s="278"/>
      <c r="C97" s="20"/>
      <c r="D97" s="20"/>
      <c r="E97" s="20" t="s">
        <v>301</v>
      </c>
      <c r="F97" s="131"/>
      <c r="G97" s="131"/>
      <c r="H97" s="131"/>
      <c r="I97" s="131"/>
      <c r="J97" s="131"/>
      <c r="K97" s="131"/>
      <c r="L97" s="131"/>
      <c r="M97" s="131"/>
    </row>
    <row r="98" ht="21">
      <c r="A98" s="137" t="s">
        <v>448</v>
      </c>
    </row>
    <row r="99" spans="1:2" ht="21">
      <c r="A99" s="139" t="s">
        <v>449</v>
      </c>
      <c r="B99" t="s">
        <v>450</v>
      </c>
    </row>
    <row r="100" spans="1:2" ht="21">
      <c r="A100" s="139" t="s">
        <v>451</v>
      </c>
      <c r="B100" t="s">
        <v>452</v>
      </c>
    </row>
    <row r="101" spans="1:2" ht="21">
      <c r="A101" s="139" t="s">
        <v>453</v>
      </c>
      <c r="B101" t="s">
        <v>454</v>
      </c>
    </row>
    <row r="102" spans="1:2" ht="21">
      <c r="A102" s="139" t="s">
        <v>455</v>
      </c>
      <c r="B102" t="s">
        <v>456</v>
      </c>
    </row>
  </sheetData>
  <mergeCells count="48">
    <mergeCell ref="B91:B92"/>
    <mergeCell ref="B93:B94"/>
    <mergeCell ref="B13:B14"/>
    <mergeCell ref="B15:B16"/>
    <mergeCell ref="B17:B18"/>
    <mergeCell ref="B19:B20"/>
    <mergeCell ref="B21:B22"/>
    <mergeCell ref="B23:B24"/>
    <mergeCell ref="B25:B26"/>
    <mergeCell ref="B56:B57"/>
    <mergeCell ref="B58:B59"/>
    <mergeCell ref="B60:B61"/>
    <mergeCell ref="B50:B51"/>
    <mergeCell ref="B52:B53"/>
    <mergeCell ref="B54:B55"/>
    <mergeCell ref="I2:M2"/>
    <mergeCell ref="F2:H2"/>
    <mergeCell ref="C2:C3"/>
    <mergeCell ref="D2:D3"/>
    <mergeCell ref="E2:E3"/>
    <mergeCell ref="B32:B33"/>
    <mergeCell ref="B34:B35"/>
    <mergeCell ref="B36:B37"/>
    <mergeCell ref="A2:B3"/>
    <mergeCell ref="B85:B86"/>
    <mergeCell ref="B81:B82"/>
    <mergeCell ref="B83:B84"/>
    <mergeCell ref="B5:B6"/>
    <mergeCell ref="B9:B10"/>
    <mergeCell ref="B27:B28"/>
    <mergeCell ref="B11:B12"/>
    <mergeCell ref="B62:B63"/>
    <mergeCell ref="B79:B80"/>
    <mergeCell ref="B30:B31"/>
    <mergeCell ref="B96:B97"/>
    <mergeCell ref="B43:B44"/>
    <mergeCell ref="B38:B39"/>
    <mergeCell ref="B40:B41"/>
    <mergeCell ref="B48:B49"/>
    <mergeCell ref="B65:B66"/>
    <mergeCell ref="B68:B69"/>
    <mergeCell ref="B89:B90"/>
    <mergeCell ref="B45:B46"/>
    <mergeCell ref="B87:B88"/>
    <mergeCell ref="B77:B78"/>
    <mergeCell ref="B70:B71"/>
    <mergeCell ref="B72:B73"/>
    <mergeCell ref="B74:B75"/>
  </mergeCells>
  <printOptions/>
  <pageMargins left="0.5905511811023623" right="0.5905511811023623" top="0.7874015748031497" bottom="0.984251968503937" header="0.5118110236220472" footer="0.5118110236220472"/>
  <pageSetup fitToHeight="0" fitToWidth="1" horizontalDpi="600" verticalDpi="600" orientation="landscape" paperSize="9" scale="80" r:id="rId1"/>
  <headerFooter alignWithMargins="0">
    <oddFooter>&amp;L&amp;F&amp;R&amp;A 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6">
    <tabColor indexed="34"/>
    <pageSetUpPr fitToPage="1"/>
  </sheetPr>
  <dimension ref="A1:M100"/>
  <sheetViews>
    <sheetView zoomScale="90" zoomScaleNormal="90" workbookViewId="0" topLeftCell="A1">
      <pane xSplit="3" ySplit="3" topLeftCell="D4" activePane="bottomRight" state="frozen"/>
      <selection pane="topLeft" activeCell="B14" sqref="B14:B15"/>
      <selection pane="topRight" activeCell="B14" sqref="B14:B15"/>
      <selection pane="bottomLeft" activeCell="B14" sqref="B14:B15"/>
      <selection pane="bottomRight" activeCell="H67" sqref="H67"/>
    </sheetView>
  </sheetViews>
  <sheetFormatPr defaultColWidth="9.33203125" defaultRowHeight="21"/>
  <cols>
    <col min="1" max="1" width="7.33203125" style="137" customWidth="1"/>
    <col min="2" max="2" width="83.83203125" style="0" customWidth="1"/>
    <col min="3" max="5" width="10.33203125" style="138" customWidth="1"/>
    <col min="6" max="8" width="10.16015625" style="54" bestFit="1" customWidth="1"/>
    <col min="9" max="13" width="9.33203125" style="54" customWidth="1"/>
  </cols>
  <sheetData>
    <row r="1" spans="1:13" ht="23.25">
      <c r="A1" s="112" t="s">
        <v>503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</row>
    <row r="2" spans="1:13" ht="25.5" customHeight="1">
      <c r="A2" s="274" t="s">
        <v>294</v>
      </c>
      <c r="B2" s="275"/>
      <c r="C2" s="272" t="s">
        <v>295</v>
      </c>
      <c r="D2" s="272" t="s">
        <v>296</v>
      </c>
      <c r="E2" s="272" t="s">
        <v>297</v>
      </c>
      <c r="F2" s="271" t="s">
        <v>3</v>
      </c>
      <c r="G2" s="271"/>
      <c r="H2" s="271"/>
      <c r="I2" s="271" t="s">
        <v>4</v>
      </c>
      <c r="J2" s="271"/>
      <c r="K2" s="271"/>
      <c r="L2" s="271"/>
      <c r="M2" s="271"/>
    </row>
    <row r="3" spans="1:13" ht="25.5" customHeight="1">
      <c r="A3" s="276"/>
      <c r="B3" s="277"/>
      <c r="C3" s="273"/>
      <c r="D3" s="273"/>
      <c r="E3" s="273"/>
      <c r="F3" s="114">
        <v>2547</v>
      </c>
      <c r="G3" s="114">
        <v>2548</v>
      </c>
      <c r="H3" s="114">
        <v>2549</v>
      </c>
      <c r="I3" s="114">
        <v>2550</v>
      </c>
      <c r="J3" s="114">
        <v>2551</v>
      </c>
      <c r="K3" s="114">
        <v>2552</v>
      </c>
      <c r="L3" s="114">
        <v>2553</v>
      </c>
      <c r="M3" s="114">
        <v>2554</v>
      </c>
    </row>
    <row r="4" spans="1:13" ht="21">
      <c r="A4" s="115" t="s">
        <v>5</v>
      </c>
      <c r="B4" s="116"/>
      <c r="C4" s="117"/>
      <c r="D4" s="117">
        <v>6.67</v>
      </c>
      <c r="E4" s="117"/>
      <c r="F4" s="117"/>
      <c r="G4" s="117"/>
      <c r="H4" s="117"/>
      <c r="I4" s="117"/>
      <c r="J4" s="117"/>
      <c r="K4" s="117"/>
      <c r="L4" s="117"/>
      <c r="M4" s="117"/>
    </row>
    <row r="5" spans="1:13" ht="21">
      <c r="A5" s="9" t="s">
        <v>9</v>
      </c>
      <c r="B5" s="283" t="s">
        <v>458</v>
      </c>
      <c r="C5" s="118" t="s">
        <v>303</v>
      </c>
      <c r="D5" s="118">
        <v>6.67</v>
      </c>
      <c r="E5" s="6" t="s">
        <v>300</v>
      </c>
      <c r="F5" s="7"/>
      <c r="G5" s="7"/>
      <c r="H5" s="7"/>
      <c r="I5" s="8">
        <v>80</v>
      </c>
      <c r="J5" s="8">
        <v>80</v>
      </c>
      <c r="K5" s="8">
        <v>80</v>
      </c>
      <c r="L5" s="8">
        <v>80</v>
      </c>
      <c r="M5" s="8">
        <v>80</v>
      </c>
    </row>
    <row r="6" spans="1:13" ht="21">
      <c r="A6" s="18"/>
      <c r="B6" s="278"/>
      <c r="C6" s="20"/>
      <c r="D6" s="20"/>
      <c r="E6" s="20" t="s">
        <v>301</v>
      </c>
      <c r="F6" s="22"/>
      <c r="G6" s="22"/>
      <c r="H6" s="22"/>
      <c r="I6" s="51"/>
      <c r="J6" s="22"/>
      <c r="K6" s="22"/>
      <c r="L6" s="22"/>
      <c r="M6" s="22"/>
    </row>
    <row r="7" spans="1:13" ht="21">
      <c r="A7" s="115" t="s">
        <v>31</v>
      </c>
      <c r="B7" s="116"/>
      <c r="C7" s="117"/>
      <c r="D7" s="117">
        <v>29.97</v>
      </c>
      <c r="E7" s="117"/>
      <c r="F7" s="117"/>
      <c r="G7" s="117"/>
      <c r="H7" s="117"/>
      <c r="I7" s="117"/>
      <c r="J7" s="117"/>
      <c r="K7" s="117"/>
      <c r="L7" s="117"/>
      <c r="M7" s="117"/>
    </row>
    <row r="8" spans="1:13" ht="21">
      <c r="A8" s="122" t="s">
        <v>305</v>
      </c>
      <c r="B8" s="123"/>
      <c r="C8" s="124"/>
      <c r="D8" s="124">
        <v>13.31</v>
      </c>
      <c r="E8" s="124"/>
      <c r="F8" s="124"/>
      <c r="G8" s="124"/>
      <c r="H8" s="124"/>
      <c r="I8" s="124"/>
      <c r="J8" s="124"/>
      <c r="K8" s="124"/>
      <c r="L8" s="124"/>
      <c r="M8" s="124"/>
    </row>
    <row r="9" spans="1:13" ht="21">
      <c r="A9" s="9" t="s">
        <v>32</v>
      </c>
      <c r="B9" s="270" t="s">
        <v>459</v>
      </c>
      <c r="C9" s="118" t="s">
        <v>315</v>
      </c>
      <c r="D9" s="118">
        <v>1.66</v>
      </c>
      <c r="E9" s="6" t="s">
        <v>300</v>
      </c>
      <c r="F9" s="140"/>
      <c r="G9" s="140"/>
      <c r="H9" s="140"/>
      <c r="I9" s="8">
        <v>6</v>
      </c>
      <c r="J9" s="8">
        <v>6</v>
      </c>
      <c r="K9" s="8">
        <v>6</v>
      </c>
      <c r="L9" s="8">
        <v>7</v>
      </c>
      <c r="M9" s="8">
        <v>7</v>
      </c>
    </row>
    <row r="10" spans="1:13" ht="21">
      <c r="A10" s="4"/>
      <c r="B10" s="269"/>
      <c r="C10" s="6"/>
      <c r="D10" s="6"/>
      <c r="E10" s="6" t="s">
        <v>301</v>
      </c>
      <c r="F10" s="8"/>
      <c r="G10" s="8"/>
      <c r="H10" s="8"/>
      <c r="I10" s="134"/>
      <c r="J10" s="248"/>
      <c r="K10" s="248"/>
      <c r="L10" s="248"/>
      <c r="M10" s="248"/>
    </row>
    <row r="11" spans="1:13" ht="21">
      <c r="A11" s="9" t="s">
        <v>36</v>
      </c>
      <c r="B11" s="268" t="s">
        <v>460</v>
      </c>
      <c r="C11" s="118" t="s">
        <v>315</v>
      </c>
      <c r="D11" s="118">
        <v>1.66</v>
      </c>
      <c r="E11" s="12" t="s">
        <v>300</v>
      </c>
      <c r="F11" s="13"/>
      <c r="G11" s="13"/>
      <c r="H11" s="13"/>
      <c r="I11" s="14">
        <v>6</v>
      </c>
      <c r="J11" s="14">
        <v>6</v>
      </c>
      <c r="K11" s="14">
        <v>6</v>
      </c>
      <c r="L11" s="14">
        <v>6</v>
      </c>
      <c r="M11" s="15" t="s">
        <v>146</v>
      </c>
    </row>
    <row r="12" spans="1:13" ht="21">
      <c r="A12" s="4"/>
      <c r="B12" s="269"/>
      <c r="C12" s="6"/>
      <c r="D12" s="6"/>
      <c r="E12" s="6" t="s">
        <v>301</v>
      </c>
      <c r="F12" s="8"/>
      <c r="G12" s="8"/>
      <c r="H12" s="101">
        <v>6</v>
      </c>
      <c r="I12" s="8"/>
      <c r="J12" s="8"/>
      <c r="K12" s="8"/>
      <c r="L12" s="8"/>
      <c r="M12" s="8"/>
    </row>
    <row r="13" spans="1:13" ht="21">
      <c r="A13" s="9" t="s">
        <v>42</v>
      </c>
      <c r="B13" s="268" t="s">
        <v>461</v>
      </c>
      <c r="C13" s="118" t="s">
        <v>303</v>
      </c>
      <c r="D13" s="118">
        <v>1.66</v>
      </c>
      <c r="E13" s="12" t="s">
        <v>300</v>
      </c>
      <c r="F13" s="13"/>
      <c r="G13" s="13"/>
      <c r="H13" s="13"/>
      <c r="I13" s="14">
        <v>0</v>
      </c>
      <c r="J13" s="79">
        <v>0</v>
      </c>
      <c r="K13" s="79">
        <v>0</v>
      </c>
      <c r="L13" s="79">
        <v>0</v>
      </c>
      <c r="M13" s="79">
        <v>0</v>
      </c>
    </row>
    <row r="14" spans="1:13" ht="21">
      <c r="A14" s="4"/>
      <c r="B14" s="269"/>
      <c r="C14" s="6"/>
      <c r="D14" s="6"/>
      <c r="E14" s="6" t="s">
        <v>301</v>
      </c>
      <c r="F14" s="162">
        <f>(15-20)*100/20</f>
        <v>-25</v>
      </c>
      <c r="G14" s="162">
        <f>(17.88-20)/20*100</f>
        <v>-10.600000000000005</v>
      </c>
      <c r="H14" s="106">
        <f>(23.53-20)/0.2</f>
        <v>17.650000000000006</v>
      </c>
      <c r="I14" s="127"/>
      <c r="J14" s="8"/>
      <c r="K14" s="8"/>
      <c r="L14" s="8"/>
      <c r="M14" s="8"/>
    </row>
    <row r="15" spans="1:13" ht="21">
      <c r="A15" s="9" t="s">
        <v>46</v>
      </c>
      <c r="B15" s="268" t="s">
        <v>462</v>
      </c>
      <c r="C15" s="118" t="s">
        <v>303</v>
      </c>
      <c r="D15" s="118">
        <v>1.66</v>
      </c>
      <c r="E15" s="12" t="s">
        <v>300</v>
      </c>
      <c r="F15" s="130"/>
      <c r="G15" s="130"/>
      <c r="H15" s="130"/>
      <c r="I15" s="102" t="s">
        <v>550</v>
      </c>
      <c r="J15" s="109" t="s">
        <v>551</v>
      </c>
      <c r="K15" s="109" t="s">
        <v>551</v>
      </c>
      <c r="L15" s="109" t="s">
        <v>551</v>
      </c>
      <c r="M15" s="109" t="s">
        <v>551</v>
      </c>
    </row>
    <row r="16" spans="1:13" ht="21">
      <c r="A16" s="4"/>
      <c r="B16" s="269"/>
      <c r="C16" s="6"/>
      <c r="D16" s="6"/>
      <c r="E16" s="6" t="s">
        <v>301</v>
      </c>
      <c r="F16" s="162" t="s">
        <v>535</v>
      </c>
      <c r="G16" s="162" t="s">
        <v>521</v>
      </c>
      <c r="H16" s="26" t="s">
        <v>275</v>
      </c>
      <c r="I16" s="134"/>
      <c r="J16" s="134"/>
      <c r="K16" s="134"/>
      <c r="L16" s="134"/>
      <c r="M16" s="134"/>
    </row>
    <row r="17" spans="1:13" ht="21">
      <c r="A17" s="9" t="s">
        <v>67</v>
      </c>
      <c r="B17" s="268" t="s">
        <v>463</v>
      </c>
      <c r="C17" s="118" t="s">
        <v>303</v>
      </c>
      <c r="D17" s="118">
        <v>1.66</v>
      </c>
      <c r="E17" s="12" t="s">
        <v>300</v>
      </c>
      <c r="F17" s="130"/>
      <c r="G17" s="130"/>
      <c r="H17" s="130"/>
      <c r="I17" s="102" t="s">
        <v>552</v>
      </c>
      <c r="J17" s="102" t="s">
        <v>553</v>
      </c>
      <c r="K17" s="102" t="s">
        <v>553</v>
      </c>
      <c r="L17" s="102" t="s">
        <v>553</v>
      </c>
      <c r="M17" s="102" t="s">
        <v>553</v>
      </c>
    </row>
    <row r="18" spans="1:13" ht="21">
      <c r="A18" s="4"/>
      <c r="B18" s="269"/>
      <c r="C18" s="6"/>
      <c r="D18" s="6"/>
      <c r="E18" s="6" t="s">
        <v>301</v>
      </c>
      <c r="F18" s="162" t="s">
        <v>528</v>
      </c>
      <c r="G18" s="162" t="s">
        <v>528</v>
      </c>
      <c r="H18" s="26" t="s">
        <v>276</v>
      </c>
      <c r="I18" s="134"/>
      <c r="J18" s="134"/>
      <c r="K18" s="134"/>
      <c r="L18" s="134"/>
      <c r="M18" s="134"/>
    </row>
    <row r="19" spans="1:13" ht="21">
      <c r="A19" s="9" t="s">
        <v>87</v>
      </c>
      <c r="B19" s="268" t="s">
        <v>464</v>
      </c>
      <c r="C19" s="118" t="s">
        <v>315</v>
      </c>
      <c r="D19" s="118"/>
      <c r="E19" s="12" t="s">
        <v>300</v>
      </c>
      <c r="F19" s="130"/>
      <c r="G19" s="130"/>
      <c r="H19" s="130"/>
      <c r="I19" s="130"/>
      <c r="J19" s="130"/>
      <c r="K19" s="130"/>
      <c r="L19" s="130"/>
      <c r="M19" s="130"/>
    </row>
    <row r="20" spans="1:13" ht="21">
      <c r="A20" s="4"/>
      <c r="B20" s="269"/>
      <c r="C20" s="6"/>
      <c r="D20" s="6"/>
      <c r="E20" s="6" t="s">
        <v>301</v>
      </c>
      <c r="F20" s="134"/>
      <c r="G20" s="134"/>
      <c r="H20" s="134"/>
      <c r="I20" s="134"/>
      <c r="J20" s="134"/>
      <c r="K20" s="134"/>
      <c r="L20" s="134"/>
      <c r="M20" s="134"/>
    </row>
    <row r="21" spans="1:13" ht="21">
      <c r="A21" s="9" t="s">
        <v>96</v>
      </c>
      <c r="B21" s="268" t="s">
        <v>465</v>
      </c>
      <c r="C21" s="118" t="s">
        <v>303</v>
      </c>
      <c r="D21" s="118">
        <v>1.67</v>
      </c>
      <c r="E21" s="12" t="s">
        <v>300</v>
      </c>
      <c r="F21" s="13"/>
      <c r="G21" s="13"/>
      <c r="H21" s="13"/>
      <c r="I21" s="14">
        <v>100</v>
      </c>
      <c r="J21" s="79">
        <v>100</v>
      </c>
      <c r="K21" s="79">
        <v>100</v>
      </c>
      <c r="L21" s="79">
        <v>100</v>
      </c>
      <c r="M21" s="80">
        <v>100</v>
      </c>
    </row>
    <row r="22" spans="1:13" ht="21">
      <c r="A22" s="4"/>
      <c r="B22" s="269"/>
      <c r="C22" s="6"/>
      <c r="D22" s="6"/>
      <c r="E22" s="6" t="s">
        <v>301</v>
      </c>
      <c r="F22" s="16">
        <v>100</v>
      </c>
      <c r="G22" s="16">
        <v>100</v>
      </c>
      <c r="H22" s="16">
        <v>100</v>
      </c>
      <c r="I22" s="8"/>
      <c r="J22" s="8"/>
      <c r="K22" s="8"/>
      <c r="L22" s="8"/>
      <c r="M22" s="8"/>
    </row>
    <row r="23" spans="1:13" ht="21">
      <c r="A23" s="9" t="s">
        <v>99</v>
      </c>
      <c r="B23" s="268" t="s">
        <v>466</v>
      </c>
      <c r="C23" s="118" t="s">
        <v>299</v>
      </c>
      <c r="D23" s="118">
        <v>1.67</v>
      </c>
      <c r="E23" s="12" t="s">
        <v>300</v>
      </c>
      <c r="F23" s="13"/>
      <c r="G23" s="13"/>
      <c r="H23" s="13"/>
      <c r="I23" s="227">
        <v>4</v>
      </c>
      <c r="J23" s="227">
        <v>4</v>
      </c>
      <c r="K23" s="79">
        <v>4.2</v>
      </c>
      <c r="L23" s="79">
        <v>4.2</v>
      </c>
      <c r="M23" s="80" t="s">
        <v>101</v>
      </c>
    </row>
    <row r="24" spans="1:13" ht="21">
      <c r="A24" s="4"/>
      <c r="B24" s="269"/>
      <c r="C24" s="6"/>
      <c r="D24" s="6"/>
      <c r="E24" s="6" t="s">
        <v>301</v>
      </c>
      <c r="F24" s="33">
        <v>4.12</v>
      </c>
      <c r="G24" s="33">
        <v>4.11</v>
      </c>
      <c r="H24" s="16">
        <v>4.16</v>
      </c>
      <c r="I24" s="8"/>
      <c r="J24" s="8"/>
      <c r="K24" s="8"/>
      <c r="L24" s="8"/>
      <c r="M24" s="8"/>
    </row>
    <row r="25" spans="1:13" ht="21">
      <c r="A25" s="9" t="s">
        <v>105</v>
      </c>
      <c r="B25" s="268" t="s">
        <v>467</v>
      </c>
      <c r="C25" s="118" t="s">
        <v>325</v>
      </c>
      <c r="D25" s="118"/>
      <c r="E25" s="12" t="s">
        <v>300</v>
      </c>
      <c r="F25" s="13"/>
      <c r="G25" s="13"/>
      <c r="H25" s="13"/>
      <c r="I25" s="13"/>
      <c r="J25" s="13"/>
      <c r="K25" s="13"/>
      <c r="L25" s="13"/>
      <c r="M25" s="136"/>
    </row>
    <row r="26" spans="1:13" ht="21">
      <c r="A26" s="4"/>
      <c r="B26" s="269"/>
      <c r="C26" s="6"/>
      <c r="D26" s="6"/>
      <c r="E26" s="6" t="s">
        <v>301</v>
      </c>
      <c r="F26" s="101">
        <v>0</v>
      </c>
      <c r="G26" s="101">
        <v>0</v>
      </c>
      <c r="H26" s="8">
        <v>0</v>
      </c>
      <c r="I26" s="8"/>
      <c r="J26" s="8"/>
      <c r="K26" s="8"/>
      <c r="L26" s="8"/>
      <c r="M26" s="8"/>
    </row>
    <row r="27" spans="1:13" ht="21">
      <c r="A27" s="9" t="s">
        <v>109</v>
      </c>
      <c r="B27" s="268" t="s">
        <v>468</v>
      </c>
      <c r="C27" s="118" t="s">
        <v>303</v>
      </c>
      <c r="D27" s="118">
        <v>1.67</v>
      </c>
      <c r="E27" s="12" t="s">
        <v>300</v>
      </c>
      <c r="F27" s="13"/>
      <c r="G27" s="13"/>
      <c r="H27" s="13"/>
      <c r="I27" s="102">
        <v>60</v>
      </c>
      <c r="J27" s="102">
        <v>60</v>
      </c>
      <c r="K27" s="102">
        <v>62</v>
      </c>
      <c r="L27" s="102">
        <v>62</v>
      </c>
      <c r="M27" s="103" t="s">
        <v>554</v>
      </c>
    </row>
    <row r="28" spans="1:13" ht="21">
      <c r="A28" s="4"/>
      <c r="B28" s="269"/>
      <c r="C28" s="6"/>
      <c r="D28" s="6"/>
      <c r="E28" s="6" t="s">
        <v>301</v>
      </c>
      <c r="F28" s="163">
        <f>35/56*100</f>
        <v>62.5</v>
      </c>
      <c r="G28" s="163">
        <f>42/71*100</f>
        <v>59.154929577464785</v>
      </c>
      <c r="H28" s="34">
        <v>61.627906976744185</v>
      </c>
      <c r="I28" s="127"/>
      <c r="J28" s="8"/>
      <c r="K28" s="8"/>
      <c r="L28" s="8"/>
      <c r="M28" s="8"/>
    </row>
    <row r="29" spans="1:13" ht="21">
      <c r="A29" s="122" t="s">
        <v>328</v>
      </c>
      <c r="B29" s="123"/>
      <c r="C29" s="124"/>
      <c r="D29" s="124">
        <v>16.66</v>
      </c>
      <c r="E29" s="124"/>
      <c r="F29" s="124"/>
      <c r="G29" s="124"/>
      <c r="H29" s="124"/>
      <c r="I29" s="124"/>
      <c r="J29" s="124"/>
      <c r="K29" s="124"/>
      <c r="L29" s="124"/>
      <c r="M29" s="124"/>
    </row>
    <row r="30" spans="1:13" ht="21">
      <c r="A30" s="9" t="s">
        <v>115</v>
      </c>
      <c r="B30" s="270" t="s">
        <v>469</v>
      </c>
      <c r="C30" s="118" t="s">
        <v>303</v>
      </c>
      <c r="D30" s="118">
        <v>3.33</v>
      </c>
      <c r="E30" s="6" t="s">
        <v>300</v>
      </c>
      <c r="F30" s="140"/>
      <c r="G30" s="140"/>
      <c r="H30" s="140"/>
      <c r="I30" s="8">
        <v>90</v>
      </c>
      <c r="J30" s="8">
        <v>90</v>
      </c>
      <c r="K30" s="8">
        <v>90</v>
      </c>
      <c r="L30" s="8">
        <v>90</v>
      </c>
      <c r="M30" s="8">
        <v>90</v>
      </c>
    </row>
    <row r="31" spans="1:13" ht="21">
      <c r="A31" s="4"/>
      <c r="B31" s="269"/>
      <c r="C31" s="6"/>
      <c r="D31" s="6"/>
      <c r="E31" s="6" t="s">
        <v>301</v>
      </c>
      <c r="F31" s="30">
        <v>34.78</v>
      </c>
      <c r="G31" s="30">
        <v>34.78</v>
      </c>
      <c r="H31" s="30">
        <v>47.61</v>
      </c>
      <c r="I31" s="134"/>
      <c r="J31" s="134"/>
      <c r="K31" s="134"/>
      <c r="L31" s="134"/>
      <c r="M31" s="134"/>
    </row>
    <row r="32" spans="1:13" ht="21">
      <c r="A32" s="9" t="s">
        <v>117</v>
      </c>
      <c r="B32" s="268" t="s">
        <v>470</v>
      </c>
      <c r="C32" s="118" t="s">
        <v>303</v>
      </c>
      <c r="D32" s="118">
        <v>3.33</v>
      </c>
      <c r="E32" s="12" t="s">
        <v>300</v>
      </c>
      <c r="F32" s="13"/>
      <c r="G32" s="13"/>
      <c r="H32" s="13"/>
      <c r="I32" s="102">
        <v>80</v>
      </c>
      <c r="J32" s="102">
        <v>80</v>
      </c>
      <c r="K32" s="102">
        <v>90</v>
      </c>
      <c r="L32" s="102">
        <v>100</v>
      </c>
      <c r="M32" s="103" t="s">
        <v>98</v>
      </c>
    </row>
    <row r="33" spans="1:13" ht="21">
      <c r="A33" s="4"/>
      <c r="B33" s="269"/>
      <c r="C33" s="6"/>
      <c r="D33" s="6"/>
      <c r="E33" s="6" t="s">
        <v>301</v>
      </c>
      <c r="F33" s="163">
        <f>4/2*100</f>
        <v>200</v>
      </c>
      <c r="G33" s="162">
        <f>2/7*100</f>
        <v>28.57142857142857</v>
      </c>
      <c r="H33" s="34">
        <v>128.57142857142858</v>
      </c>
      <c r="I33" s="127"/>
      <c r="J33" s="8"/>
      <c r="K33" s="8"/>
      <c r="L33" s="8"/>
      <c r="M33" s="8"/>
    </row>
    <row r="34" spans="1:13" ht="21">
      <c r="A34" s="9" t="s">
        <v>121</v>
      </c>
      <c r="B34" s="268" t="s">
        <v>504</v>
      </c>
      <c r="C34" s="118" t="s">
        <v>303</v>
      </c>
      <c r="D34" s="118">
        <v>3.34</v>
      </c>
      <c r="E34" s="12" t="s">
        <v>300</v>
      </c>
      <c r="F34" s="130"/>
      <c r="G34" s="130"/>
      <c r="H34" s="130"/>
      <c r="I34" s="102">
        <v>35</v>
      </c>
      <c r="J34" s="102">
        <v>35</v>
      </c>
      <c r="K34" s="102">
        <v>35</v>
      </c>
      <c r="L34" s="102">
        <v>35</v>
      </c>
      <c r="M34" s="102">
        <v>35</v>
      </c>
    </row>
    <row r="35" spans="1:13" ht="21">
      <c r="A35" s="4"/>
      <c r="B35" s="269"/>
      <c r="C35" s="6"/>
      <c r="D35" s="6"/>
      <c r="E35" s="6" t="s">
        <v>301</v>
      </c>
      <c r="F35" s="8">
        <v>0</v>
      </c>
      <c r="G35" s="8">
        <v>1.7</v>
      </c>
      <c r="H35" s="8">
        <v>0</v>
      </c>
      <c r="I35" s="134"/>
      <c r="J35" s="134"/>
      <c r="K35" s="134"/>
      <c r="L35" s="134"/>
      <c r="M35" s="134"/>
    </row>
    <row r="36" spans="1:13" ht="21">
      <c r="A36" s="9" t="s">
        <v>125</v>
      </c>
      <c r="B36" s="268" t="s">
        <v>472</v>
      </c>
      <c r="C36" s="118" t="s">
        <v>303</v>
      </c>
      <c r="D36" s="118">
        <v>3.33</v>
      </c>
      <c r="E36" s="12" t="s">
        <v>300</v>
      </c>
      <c r="F36" s="13"/>
      <c r="G36" s="13"/>
      <c r="H36" s="13"/>
      <c r="I36" s="14">
        <v>30</v>
      </c>
      <c r="J36" s="14">
        <v>30</v>
      </c>
      <c r="K36" s="14">
        <v>30</v>
      </c>
      <c r="L36" s="14">
        <v>30</v>
      </c>
      <c r="M36" s="15">
        <v>30</v>
      </c>
    </row>
    <row r="37" spans="1:13" ht="21">
      <c r="A37" s="4"/>
      <c r="B37" s="269"/>
      <c r="C37" s="6"/>
      <c r="D37" s="6"/>
      <c r="E37" s="6" t="s">
        <v>301</v>
      </c>
      <c r="F37" s="49">
        <v>6.78</v>
      </c>
      <c r="G37" s="30">
        <v>28.66</v>
      </c>
      <c r="H37" s="107">
        <v>31.182795698924732</v>
      </c>
      <c r="I37" s="8"/>
      <c r="J37" s="8"/>
      <c r="K37" s="8"/>
      <c r="L37" s="8"/>
      <c r="M37" s="8"/>
    </row>
    <row r="38" spans="1:13" ht="21">
      <c r="A38" s="119" t="s">
        <v>130</v>
      </c>
      <c r="B38" s="268" t="s">
        <v>473</v>
      </c>
      <c r="C38" s="120" t="s">
        <v>303</v>
      </c>
      <c r="D38" s="120">
        <v>3.33</v>
      </c>
      <c r="E38" s="12" t="s">
        <v>300</v>
      </c>
      <c r="F38" s="13"/>
      <c r="G38" s="13"/>
      <c r="H38" s="13"/>
      <c r="I38" s="14">
        <v>30</v>
      </c>
      <c r="J38" s="14">
        <v>30</v>
      </c>
      <c r="K38" s="14">
        <v>30</v>
      </c>
      <c r="L38" s="14">
        <v>30</v>
      </c>
      <c r="M38" s="15">
        <v>30</v>
      </c>
    </row>
    <row r="39" spans="1:13" ht="21">
      <c r="A39" s="18"/>
      <c r="B39" s="278"/>
      <c r="C39" s="20"/>
      <c r="D39" s="20"/>
      <c r="E39" s="20" t="s">
        <v>301</v>
      </c>
      <c r="F39" s="135">
        <v>78.26</v>
      </c>
      <c r="G39" s="135">
        <v>30.53</v>
      </c>
      <c r="H39" s="51">
        <v>30.11</v>
      </c>
      <c r="I39" s="22"/>
      <c r="J39" s="22"/>
      <c r="K39" s="22"/>
      <c r="L39" s="22"/>
      <c r="M39" s="22"/>
    </row>
    <row r="40" spans="1:13" ht="21">
      <c r="A40" s="115" t="s">
        <v>132</v>
      </c>
      <c r="B40" s="116"/>
      <c r="C40" s="117"/>
      <c r="D40" s="117">
        <v>10</v>
      </c>
      <c r="E40" s="117"/>
      <c r="F40" s="117"/>
      <c r="G40" s="117"/>
      <c r="H40" s="117"/>
      <c r="I40" s="117"/>
      <c r="J40" s="117"/>
      <c r="K40" s="117"/>
      <c r="L40" s="117"/>
      <c r="M40" s="117"/>
    </row>
    <row r="41" spans="1:13" ht="21">
      <c r="A41" s="9" t="s">
        <v>138</v>
      </c>
      <c r="B41" s="270" t="s">
        <v>475</v>
      </c>
      <c r="C41" s="118" t="s">
        <v>303</v>
      </c>
      <c r="D41" s="118">
        <v>5</v>
      </c>
      <c r="E41" s="6" t="s">
        <v>300</v>
      </c>
      <c r="F41" s="7"/>
      <c r="G41" s="7"/>
      <c r="H41" s="7"/>
      <c r="I41" s="8">
        <v>90</v>
      </c>
      <c r="J41" s="8">
        <v>90</v>
      </c>
      <c r="K41" s="8">
        <v>90</v>
      </c>
      <c r="L41" s="8">
        <v>90</v>
      </c>
      <c r="M41" s="24">
        <v>90</v>
      </c>
    </row>
    <row r="42" spans="1:13" ht="21">
      <c r="A42" s="4"/>
      <c r="B42" s="269"/>
      <c r="C42" s="6"/>
      <c r="D42" s="6"/>
      <c r="E42" s="6" t="s">
        <v>301</v>
      </c>
      <c r="F42" s="249">
        <v>100</v>
      </c>
      <c r="G42" s="249">
        <v>100</v>
      </c>
      <c r="H42" s="249">
        <v>100</v>
      </c>
      <c r="I42" s="8"/>
      <c r="J42" s="8"/>
      <c r="K42" s="8"/>
      <c r="L42" s="8"/>
      <c r="M42" s="8"/>
    </row>
    <row r="43" spans="1:13" ht="21">
      <c r="A43" s="119" t="s">
        <v>141</v>
      </c>
      <c r="B43" s="268" t="s">
        <v>476</v>
      </c>
      <c r="C43" s="120" t="s">
        <v>303</v>
      </c>
      <c r="D43" s="120">
        <v>5</v>
      </c>
      <c r="E43" s="12" t="s">
        <v>300</v>
      </c>
      <c r="F43" s="130"/>
      <c r="G43" s="130"/>
      <c r="H43" s="130"/>
      <c r="I43" s="14">
        <v>95</v>
      </c>
      <c r="J43" s="14">
        <v>95</v>
      </c>
      <c r="K43" s="14">
        <v>95</v>
      </c>
      <c r="L43" s="14">
        <v>95</v>
      </c>
      <c r="M43" s="14">
        <v>95</v>
      </c>
    </row>
    <row r="44" spans="1:13" ht="21">
      <c r="A44" s="18"/>
      <c r="B44" s="278"/>
      <c r="C44" s="20"/>
      <c r="D44" s="20"/>
      <c r="E44" s="20" t="s">
        <v>301</v>
      </c>
      <c r="F44" s="22"/>
      <c r="G44" s="22"/>
      <c r="H44" s="250">
        <v>98.06451612903226</v>
      </c>
      <c r="I44" s="131"/>
      <c r="J44" s="131"/>
      <c r="K44" s="131"/>
      <c r="L44" s="131"/>
      <c r="M44" s="131"/>
    </row>
    <row r="45" spans="1:13" ht="21">
      <c r="A45" s="115" t="s">
        <v>143</v>
      </c>
      <c r="B45" s="116"/>
      <c r="C45" s="117"/>
      <c r="D45" s="117">
        <v>10</v>
      </c>
      <c r="E45" s="117"/>
      <c r="F45" s="117"/>
      <c r="G45" s="117"/>
      <c r="H45" s="117"/>
      <c r="I45" s="117"/>
      <c r="J45" s="117"/>
      <c r="K45" s="117"/>
      <c r="L45" s="117"/>
      <c r="M45" s="117"/>
    </row>
    <row r="46" spans="1:13" ht="21">
      <c r="A46" s="9" t="s">
        <v>149</v>
      </c>
      <c r="B46" s="270" t="s">
        <v>477</v>
      </c>
      <c r="C46" s="118" t="s">
        <v>348</v>
      </c>
      <c r="D46" s="118">
        <v>3</v>
      </c>
      <c r="E46" s="6" t="s">
        <v>300</v>
      </c>
      <c r="F46" s="7"/>
      <c r="G46" s="7"/>
      <c r="H46" s="7"/>
      <c r="I46" s="111">
        <v>80000</v>
      </c>
      <c r="J46" s="111">
        <v>80000</v>
      </c>
      <c r="K46" s="111">
        <v>80000</v>
      </c>
      <c r="L46" s="111">
        <v>100000</v>
      </c>
      <c r="M46" s="111">
        <v>100000</v>
      </c>
    </row>
    <row r="47" spans="1:13" ht="21">
      <c r="A47" s="4"/>
      <c r="B47" s="269"/>
      <c r="C47" s="6"/>
      <c r="D47" s="6"/>
      <c r="E47" s="6" t="s">
        <v>301</v>
      </c>
      <c r="F47" s="31">
        <v>173152</v>
      </c>
      <c r="G47" s="8"/>
      <c r="H47" s="241">
        <v>93278.3443020055</v>
      </c>
      <c r="I47" s="31"/>
      <c r="J47" s="8"/>
      <c r="K47" s="8"/>
      <c r="L47" s="8"/>
      <c r="M47" s="8"/>
    </row>
    <row r="48" spans="1:13" ht="21">
      <c r="A48" s="9" t="s">
        <v>151</v>
      </c>
      <c r="B48" s="268" t="s">
        <v>478</v>
      </c>
      <c r="C48" s="118" t="s">
        <v>303</v>
      </c>
      <c r="D48" s="118">
        <v>3</v>
      </c>
      <c r="E48" s="12" t="s">
        <v>300</v>
      </c>
      <c r="F48" s="13"/>
      <c r="G48" s="13"/>
      <c r="H48" s="13"/>
      <c r="I48" s="102">
        <v>100</v>
      </c>
      <c r="J48" s="102">
        <v>110</v>
      </c>
      <c r="K48" s="102">
        <v>120</v>
      </c>
      <c r="L48" s="102">
        <v>130</v>
      </c>
      <c r="M48" s="103" t="s">
        <v>555</v>
      </c>
    </row>
    <row r="49" spans="1:13" ht="42" customHeight="1">
      <c r="A49" s="4"/>
      <c r="B49" s="269"/>
      <c r="C49" s="6"/>
      <c r="D49" s="6"/>
      <c r="E49" s="6" t="s">
        <v>301</v>
      </c>
      <c r="F49" s="49">
        <v>8.26086956521739</v>
      </c>
      <c r="G49" s="30">
        <v>87.91666666666667</v>
      </c>
      <c r="H49" s="49">
        <v>184.4</v>
      </c>
      <c r="I49" s="30"/>
      <c r="J49" s="8"/>
      <c r="K49" s="8"/>
      <c r="L49" s="8"/>
      <c r="M49" s="8"/>
    </row>
    <row r="50" spans="1:13" ht="21">
      <c r="A50" s="9" t="s">
        <v>154</v>
      </c>
      <c r="B50" s="268" t="s">
        <v>479</v>
      </c>
      <c r="C50" s="118" t="s">
        <v>348</v>
      </c>
      <c r="D50" s="118">
        <v>3</v>
      </c>
      <c r="E50" s="12" t="s">
        <v>300</v>
      </c>
      <c r="F50" s="43"/>
      <c r="G50" s="43"/>
      <c r="H50" s="43"/>
      <c r="I50" s="40">
        <v>40000</v>
      </c>
      <c r="J50" s="40">
        <v>40000</v>
      </c>
      <c r="K50" s="40">
        <v>40000</v>
      </c>
      <c r="L50" s="228">
        <v>50000</v>
      </c>
      <c r="M50" s="228">
        <v>50000</v>
      </c>
    </row>
    <row r="51" spans="1:13" ht="21">
      <c r="A51" s="4"/>
      <c r="B51" s="269"/>
      <c r="C51" s="6"/>
      <c r="D51" s="6"/>
      <c r="E51" s="6" t="s">
        <v>301</v>
      </c>
      <c r="F51" s="31">
        <v>27860</v>
      </c>
      <c r="G51" s="31"/>
      <c r="H51" s="241">
        <v>67639.299857561</v>
      </c>
      <c r="I51" s="31"/>
      <c r="J51" s="31"/>
      <c r="K51" s="31"/>
      <c r="L51" s="31"/>
      <c r="M51" s="31"/>
    </row>
    <row r="52" spans="1:13" ht="21">
      <c r="A52" s="9" t="s">
        <v>156</v>
      </c>
      <c r="B52" s="268" t="s">
        <v>480</v>
      </c>
      <c r="C52" s="118" t="s">
        <v>348</v>
      </c>
      <c r="D52" s="118">
        <v>3</v>
      </c>
      <c r="E52" s="12" t="s">
        <v>300</v>
      </c>
      <c r="F52" s="43"/>
      <c r="G52" s="43"/>
      <c r="H52" s="43"/>
      <c r="I52" s="111">
        <v>40000</v>
      </c>
      <c r="J52" s="111">
        <v>40000</v>
      </c>
      <c r="K52" s="111">
        <v>40000</v>
      </c>
      <c r="L52" s="40">
        <v>50000</v>
      </c>
      <c r="M52" s="40">
        <v>50000</v>
      </c>
    </row>
    <row r="53" spans="1:13" ht="21">
      <c r="A53" s="4"/>
      <c r="B53" s="269"/>
      <c r="C53" s="6"/>
      <c r="D53" s="6"/>
      <c r="E53" s="6" t="s">
        <v>301</v>
      </c>
      <c r="F53" s="31">
        <v>145292</v>
      </c>
      <c r="G53" s="31"/>
      <c r="H53" s="241">
        <v>25639.04444444445</v>
      </c>
      <c r="I53" s="31"/>
      <c r="J53" s="31"/>
      <c r="K53" s="31"/>
      <c r="L53" s="31"/>
      <c r="M53" s="31"/>
    </row>
    <row r="54" spans="1:13" ht="21">
      <c r="A54" s="9" t="s">
        <v>158</v>
      </c>
      <c r="B54" s="268" t="s">
        <v>481</v>
      </c>
      <c r="C54" s="118" t="s">
        <v>303</v>
      </c>
      <c r="D54" s="118">
        <v>3</v>
      </c>
      <c r="E54" s="12" t="s">
        <v>300</v>
      </c>
      <c r="F54" s="13"/>
      <c r="G54" s="13"/>
      <c r="H54" s="13"/>
      <c r="I54" s="14">
        <v>100</v>
      </c>
      <c r="J54" s="14">
        <v>100</v>
      </c>
      <c r="K54" s="14">
        <v>100</v>
      </c>
      <c r="L54" s="14">
        <v>100</v>
      </c>
      <c r="M54" s="15">
        <v>100</v>
      </c>
    </row>
    <row r="55" spans="1:13" ht="21">
      <c r="A55" s="4"/>
      <c r="B55" s="269"/>
      <c r="C55" s="6"/>
      <c r="D55" s="6"/>
      <c r="E55" s="6" t="s">
        <v>301</v>
      </c>
      <c r="F55" s="163">
        <v>56.522</v>
      </c>
      <c r="G55" s="49">
        <v>62.5</v>
      </c>
      <c r="H55" s="133">
        <v>100</v>
      </c>
      <c r="I55" s="127"/>
      <c r="J55" s="8"/>
      <c r="K55" s="8"/>
      <c r="L55" s="8"/>
      <c r="M55" s="8"/>
    </row>
    <row r="56" spans="1:13" ht="21">
      <c r="A56" s="9" t="s">
        <v>161</v>
      </c>
      <c r="B56" s="268" t="s">
        <v>482</v>
      </c>
      <c r="C56" s="118" t="s">
        <v>303</v>
      </c>
      <c r="D56" s="118">
        <v>3</v>
      </c>
      <c r="E56" s="12" t="s">
        <v>300</v>
      </c>
      <c r="F56" s="13"/>
      <c r="G56" s="13"/>
      <c r="H56" s="13"/>
      <c r="I56" s="14">
        <v>25</v>
      </c>
      <c r="J56" s="14">
        <v>25</v>
      </c>
      <c r="K56" s="14">
        <v>25</v>
      </c>
      <c r="L56" s="14">
        <v>25</v>
      </c>
      <c r="M56" s="15">
        <v>25</v>
      </c>
    </row>
    <row r="57" spans="1:13" ht="21">
      <c r="A57" s="4"/>
      <c r="B57" s="269"/>
      <c r="C57" s="6"/>
      <c r="D57" s="6"/>
      <c r="E57" s="6" t="s">
        <v>301</v>
      </c>
      <c r="F57" s="163">
        <v>8.6957</v>
      </c>
      <c r="G57" s="245">
        <v>16.67</v>
      </c>
      <c r="H57" s="49">
        <v>15</v>
      </c>
      <c r="I57" s="127"/>
      <c r="J57" s="8"/>
      <c r="K57" s="8"/>
      <c r="L57" s="8"/>
      <c r="M57" s="8"/>
    </row>
    <row r="58" spans="1:13" ht="21">
      <c r="A58" s="9" t="s">
        <v>165</v>
      </c>
      <c r="B58" s="268" t="s">
        <v>483</v>
      </c>
      <c r="C58" s="118" t="s">
        <v>303</v>
      </c>
      <c r="D58" s="118">
        <v>3</v>
      </c>
      <c r="E58" s="12" t="s">
        <v>300</v>
      </c>
      <c r="F58" s="13"/>
      <c r="G58" s="13"/>
      <c r="H58" s="13"/>
      <c r="I58" s="102">
        <v>1.5</v>
      </c>
      <c r="J58" s="102">
        <v>1.6</v>
      </c>
      <c r="K58" s="102">
        <v>1.6</v>
      </c>
      <c r="L58" s="102">
        <v>1.7</v>
      </c>
      <c r="M58" s="103" t="s">
        <v>556</v>
      </c>
    </row>
    <row r="59" spans="1:13" ht="21">
      <c r="A59" s="4"/>
      <c r="B59" s="269"/>
      <c r="C59" s="6"/>
      <c r="D59" s="6"/>
      <c r="E59" s="6" t="s">
        <v>301</v>
      </c>
      <c r="F59" s="8"/>
      <c r="G59" s="245">
        <v>17.083333333333332</v>
      </c>
      <c r="H59" s="30">
        <v>1</v>
      </c>
      <c r="I59" s="30"/>
      <c r="J59" s="8"/>
      <c r="K59" s="8"/>
      <c r="L59" s="8"/>
      <c r="M59" s="8"/>
    </row>
    <row r="60" spans="1:13" ht="21">
      <c r="A60" s="9" t="s">
        <v>169</v>
      </c>
      <c r="B60" s="268" t="s">
        <v>355</v>
      </c>
      <c r="C60" s="118" t="s">
        <v>303</v>
      </c>
      <c r="D60" s="118">
        <v>3</v>
      </c>
      <c r="E60" s="12" t="s">
        <v>300</v>
      </c>
      <c r="F60" s="13"/>
      <c r="G60" s="13"/>
      <c r="H60" s="13"/>
      <c r="I60" s="102">
        <v>90</v>
      </c>
      <c r="J60" s="102">
        <v>90</v>
      </c>
      <c r="K60" s="102">
        <v>90</v>
      </c>
      <c r="L60" s="102">
        <v>90</v>
      </c>
      <c r="M60" s="102">
        <v>90</v>
      </c>
    </row>
    <row r="61" spans="1:13" ht="21">
      <c r="A61" s="4"/>
      <c r="B61" s="269"/>
      <c r="C61" s="6"/>
      <c r="D61" s="6"/>
      <c r="E61" s="6" t="s">
        <v>301</v>
      </c>
      <c r="F61" s="8"/>
      <c r="G61" s="127"/>
      <c r="H61" s="127"/>
      <c r="I61" s="127"/>
      <c r="J61" s="8"/>
      <c r="K61" s="8"/>
      <c r="L61" s="8"/>
      <c r="M61" s="8"/>
    </row>
    <row r="62" spans="1:13" ht="21">
      <c r="A62" s="122" t="s">
        <v>359</v>
      </c>
      <c r="B62" s="123"/>
      <c r="C62" s="124"/>
      <c r="D62" s="124">
        <v>10</v>
      </c>
      <c r="E62" s="124"/>
      <c r="F62" s="124"/>
      <c r="G62" s="124"/>
      <c r="H62" s="124"/>
      <c r="I62" s="124"/>
      <c r="J62" s="124"/>
      <c r="K62" s="124"/>
      <c r="L62" s="124"/>
      <c r="M62" s="124"/>
    </row>
    <row r="63" spans="1:13" ht="21">
      <c r="A63" s="9" t="s">
        <v>172</v>
      </c>
      <c r="B63" s="283" t="s">
        <v>484</v>
      </c>
      <c r="C63" s="118" t="s">
        <v>303</v>
      </c>
      <c r="D63" s="118">
        <v>10</v>
      </c>
      <c r="E63" s="6" t="s">
        <v>300</v>
      </c>
      <c r="F63" s="7"/>
      <c r="G63" s="7"/>
      <c r="H63" s="7"/>
      <c r="I63" s="8">
        <v>10</v>
      </c>
      <c r="J63" s="8">
        <v>10</v>
      </c>
      <c r="K63" s="8">
        <v>10</v>
      </c>
      <c r="L63" s="8">
        <v>12</v>
      </c>
      <c r="M63" s="24" t="s">
        <v>127</v>
      </c>
    </row>
    <row r="64" spans="1:13" ht="21">
      <c r="A64" s="18"/>
      <c r="B64" s="278"/>
      <c r="C64" s="20"/>
      <c r="D64" s="20"/>
      <c r="E64" s="20" t="s">
        <v>301</v>
      </c>
      <c r="F64" s="250">
        <v>8.333333333333332</v>
      </c>
      <c r="G64" s="250">
        <v>4.166666666666666</v>
      </c>
      <c r="H64" s="250">
        <v>14.285714285714285</v>
      </c>
      <c r="I64" s="51"/>
      <c r="J64" s="22"/>
      <c r="K64" s="22"/>
      <c r="L64" s="22"/>
      <c r="M64" s="22"/>
    </row>
    <row r="65" spans="1:13" ht="21">
      <c r="A65" s="115" t="s">
        <v>179</v>
      </c>
      <c r="B65" s="116"/>
      <c r="C65" s="117"/>
      <c r="D65" s="117">
        <v>5</v>
      </c>
      <c r="E65" s="117"/>
      <c r="F65" s="117"/>
      <c r="G65" s="117"/>
      <c r="H65" s="117"/>
      <c r="I65" s="117"/>
      <c r="J65" s="117"/>
      <c r="K65" s="117"/>
      <c r="L65" s="117"/>
      <c r="M65" s="117"/>
    </row>
    <row r="66" spans="1:13" ht="21">
      <c r="A66" s="9" t="s">
        <v>182</v>
      </c>
      <c r="B66" s="270" t="s">
        <v>485</v>
      </c>
      <c r="C66" s="118" t="s">
        <v>303</v>
      </c>
      <c r="D66" s="118">
        <v>2.5</v>
      </c>
      <c r="E66" s="6" t="s">
        <v>300</v>
      </c>
      <c r="F66" s="7"/>
      <c r="G66" s="7"/>
      <c r="H66" s="7"/>
      <c r="I66" s="8">
        <v>30</v>
      </c>
      <c r="J66" s="8">
        <v>30</v>
      </c>
      <c r="K66" s="8">
        <v>30</v>
      </c>
      <c r="L66" s="8">
        <v>30</v>
      </c>
      <c r="M66" s="24">
        <v>30</v>
      </c>
    </row>
    <row r="67" spans="1:13" ht="42" customHeight="1">
      <c r="A67" s="4"/>
      <c r="B67" s="269"/>
      <c r="C67" s="6"/>
      <c r="D67" s="6"/>
      <c r="E67" s="6" t="s">
        <v>301</v>
      </c>
      <c r="F67" s="107">
        <v>8.333333333333332</v>
      </c>
      <c r="G67" s="141"/>
      <c r="H67" s="107">
        <v>23.809523809523807</v>
      </c>
      <c r="I67" s="127"/>
      <c r="J67" s="8"/>
      <c r="K67" s="8"/>
      <c r="L67" s="8"/>
      <c r="M67" s="8"/>
    </row>
    <row r="68" spans="1:13" ht="21">
      <c r="A68" s="9" t="s">
        <v>189</v>
      </c>
      <c r="B68" s="268" t="s">
        <v>486</v>
      </c>
      <c r="C68" s="118" t="s">
        <v>303</v>
      </c>
      <c r="D68" s="118">
        <v>2.5</v>
      </c>
      <c r="E68" s="12" t="s">
        <v>300</v>
      </c>
      <c r="F68" s="13"/>
      <c r="G68" s="13"/>
      <c r="H68" s="13"/>
      <c r="I68" s="174">
        <v>4</v>
      </c>
      <c r="J68" s="174">
        <v>4.1</v>
      </c>
      <c r="K68" s="174">
        <v>4.1</v>
      </c>
      <c r="L68" s="174">
        <v>4.2</v>
      </c>
      <c r="M68" s="174">
        <v>4.2</v>
      </c>
    </row>
    <row r="69" spans="1:13" ht="21">
      <c r="A69" s="4"/>
      <c r="B69" s="269"/>
      <c r="C69" s="6"/>
      <c r="D69" s="6"/>
      <c r="E69" s="6" t="s">
        <v>301</v>
      </c>
      <c r="F69" s="170">
        <f>1/23*100</f>
        <v>4.3478260869565215</v>
      </c>
      <c r="G69" s="169">
        <f>1/24*100</f>
        <v>4.166666666666666</v>
      </c>
      <c r="H69" s="141"/>
      <c r="I69" s="49"/>
      <c r="J69" s="8"/>
      <c r="K69" s="8"/>
      <c r="L69" s="8"/>
      <c r="M69" s="8"/>
    </row>
    <row r="70" spans="1:13" ht="21">
      <c r="A70" s="9" t="s">
        <v>191</v>
      </c>
      <c r="B70" s="268" t="s">
        <v>487</v>
      </c>
      <c r="C70" s="118" t="s">
        <v>303</v>
      </c>
      <c r="D70" s="118"/>
      <c r="E70" s="12" t="s">
        <v>300</v>
      </c>
      <c r="F70" s="130"/>
      <c r="G70" s="130"/>
      <c r="H70" s="130"/>
      <c r="I70" s="130"/>
      <c r="J70" s="130"/>
      <c r="K70" s="130"/>
      <c r="L70" s="130"/>
      <c r="M70" s="130"/>
    </row>
    <row r="71" spans="1:13" ht="21">
      <c r="A71" s="4"/>
      <c r="B71" s="269"/>
      <c r="C71" s="6"/>
      <c r="D71" s="6"/>
      <c r="E71" s="6" t="s">
        <v>301</v>
      </c>
      <c r="F71" s="134"/>
      <c r="G71" s="134"/>
      <c r="H71" s="134"/>
      <c r="I71" s="134"/>
      <c r="J71" s="134"/>
      <c r="K71" s="134"/>
      <c r="L71" s="134"/>
      <c r="M71" s="134"/>
    </row>
    <row r="72" spans="1:13" ht="21">
      <c r="A72" s="119" t="s">
        <v>199</v>
      </c>
      <c r="B72" s="268" t="s">
        <v>488</v>
      </c>
      <c r="C72" s="120" t="s">
        <v>303</v>
      </c>
      <c r="D72" s="120"/>
      <c r="E72" s="12" t="s">
        <v>300</v>
      </c>
      <c r="F72" s="13"/>
      <c r="G72" s="13"/>
      <c r="H72" s="13"/>
      <c r="I72" s="13"/>
      <c r="J72" s="13"/>
      <c r="K72" s="13"/>
      <c r="L72" s="13"/>
      <c r="M72" s="136"/>
    </row>
    <row r="73" spans="1:13" ht="21">
      <c r="A73" s="18"/>
      <c r="B73" s="278"/>
      <c r="C73" s="20"/>
      <c r="D73" s="20"/>
      <c r="E73" s="20" t="s">
        <v>301</v>
      </c>
      <c r="F73" s="22"/>
      <c r="G73" s="22"/>
      <c r="H73" s="22"/>
      <c r="I73" s="22"/>
      <c r="J73" s="22"/>
      <c r="K73" s="22"/>
      <c r="L73" s="22"/>
      <c r="M73" s="22"/>
    </row>
    <row r="74" spans="1:13" ht="21">
      <c r="A74" s="115" t="s">
        <v>209</v>
      </c>
      <c r="B74" s="116"/>
      <c r="C74" s="117"/>
      <c r="D74" s="117">
        <v>12.25</v>
      </c>
      <c r="E74" s="117"/>
      <c r="F74" s="117"/>
      <c r="G74" s="117"/>
      <c r="H74" s="117"/>
      <c r="I74" s="117"/>
      <c r="J74" s="117"/>
      <c r="K74" s="117"/>
      <c r="L74" s="117"/>
      <c r="M74" s="117"/>
    </row>
    <row r="75" spans="1:13" ht="21">
      <c r="A75" s="9" t="s">
        <v>210</v>
      </c>
      <c r="B75" s="270" t="s">
        <v>489</v>
      </c>
      <c r="C75" s="118" t="s">
        <v>315</v>
      </c>
      <c r="D75" s="118">
        <v>1.53</v>
      </c>
      <c r="E75" s="6" t="s">
        <v>300</v>
      </c>
      <c r="F75" s="140"/>
      <c r="G75" s="140"/>
      <c r="H75" s="140"/>
      <c r="I75" s="8">
        <v>3</v>
      </c>
      <c r="J75" s="8">
        <v>3</v>
      </c>
      <c r="K75" s="8">
        <v>3</v>
      </c>
      <c r="L75" s="8">
        <v>3</v>
      </c>
      <c r="M75" s="8">
        <v>3</v>
      </c>
    </row>
    <row r="76" spans="1:13" ht="21">
      <c r="A76" s="4"/>
      <c r="B76" s="269"/>
      <c r="C76" s="6"/>
      <c r="D76" s="6"/>
      <c r="E76" s="6" t="s">
        <v>301</v>
      </c>
      <c r="F76" s="8"/>
      <c r="G76" s="8"/>
      <c r="H76" s="8"/>
      <c r="I76" s="134"/>
      <c r="J76" s="134"/>
      <c r="K76" s="134"/>
      <c r="L76" s="134"/>
      <c r="M76" s="134"/>
    </row>
    <row r="77" spans="1:13" ht="21">
      <c r="A77" s="9" t="s">
        <v>212</v>
      </c>
      <c r="B77" s="268" t="s">
        <v>490</v>
      </c>
      <c r="C77" s="118" t="s">
        <v>299</v>
      </c>
      <c r="D77" s="118">
        <v>1.53</v>
      </c>
      <c r="E77" s="12" t="s">
        <v>300</v>
      </c>
      <c r="F77" s="130"/>
      <c r="G77" s="130"/>
      <c r="H77" s="130"/>
      <c r="I77" s="14">
        <v>3</v>
      </c>
      <c r="J77" s="14">
        <v>3</v>
      </c>
      <c r="K77" s="14">
        <v>3</v>
      </c>
      <c r="L77" s="14">
        <v>3</v>
      </c>
      <c r="M77" s="14">
        <v>3</v>
      </c>
    </row>
    <row r="78" spans="1:13" ht="21">
      <c r="A78" s="4"/>
      <c r="B78" s="269"/>
      <c r="C78" s="6"/>
      <c r="D78" s="6"/>
      <c r="E78" s="6" t="s">
        <v>301</v>
      </c>
      <c r="F78" s="8"/>
      <c r="G78" s="8"/>
      <c r="H78" s="8"/>
      <c r="I78" s="134"/>
      <c r="J78" s="134"/>
      <c r="K78" s="134"/>
      <c r="L78" s="134"/>
      <c r="M78" s="134"/>
    </row>
    <row r="79" spans="1:13" ht="21">
      <c r="A79" s="9" t="s">
        <v>216</v>
      </c>
      <c r="B79" s="268" t="s">
        <v>491</v>
      </c>
      <c r="C79" s="118" t="s">
        <v>299</v>
      </c>
      <c r="D79" s="118">
        <v>1.53</v>
      </c>
      <c r="E79" s="12" t="s">
        <v>300</v>
      </c>
      <c r="F79" s="130"/>
      <c r="G79" s="130"/>
      <c r="H79" s="130"/>
      <c r="I79" s="14">
        <v>3</v>
      </c>
      <c r="J79" s="14">
        <v>3</v>
      </c>
      <c r="K79" s="14">
        <v>3</v>
      </c>
      <c r="L79" s="14">
        <v>4</v>
      </c>
      <c r="M79" s="14">
        <v>4</v>
      </c>
    </row>
    <row r="80" spans="1:13" ht="21">
      <c r="A80" s="4"/>
      <c r="B80" s="269"/>
      <c r="C80" s="6"/>
      <c r="D80" s="6"/>
      <c r="E80" s="6" t="s">
        <v>301</v>
      </c>
      <c r="F80" s="8"/>
      <c r="G80" s="8"/>
      <c r="H80" s="8"/>
      <c r="I80" s="134"/>
      <c r="J80" s="134"/>
      <c r="K80" s="134"/>
      <c r="L80" s="134"/>
      <c r="M80" s="134"/>
    </row>
    <row r="81" spans="1:13" ht="21">
      <c r="A81" s="9" t="s">
        <v>225</v>
      </c>
      <c r="B81" s="268" t="s">
        <v>492</v>
      </c>
      <c r="C81" s="118" t="s">
        <v>299</v>
      </c>
      <c r="D81" s="118">
        <v>1.53</v>
      </c>
      <c r="E81" s="12" t="s">
        <v>300</v>
      </c>
      <c r="F81" s="130"/>
      <c r="G81" s="130"/>
      <c r="H81" s="130"/>
      <c r="I81" s="14">
        <v>4</v>
      </c>
      <c r="J81" s="14">
        <v>4</v>
      </c>
      <c r="K81" s="14">
        <v>4</v>
      </c>
      <c r="L81" s="14">
        <v>5</v>
      </c>
      <c r="M81" s="14">
        <v>5</v>
      </c>
    </row>
    <row r="82" spans="1:13" ht="21">
      <c r="A82" s="4"/>
      <c r="B82" s="269"/>
      <c r="C82" s="6"/>
      <c r="D82" s="6"/>
      <c r="E82" s="6" t="s">
        <v>301</v>
      </c>
      <c r="F82" s="8"/>
      <c r="G82" s="8"/>
      <c r="H82" s="8"/>
      <c r="I82" s="134"/>
      <c r="J82" s="134"/>
      <c r="K82" s="134"/>
      <c r="L82" s="134"/>
      <c r="M82" s="134"/>
    </row>
    <row r="83" spans="1:13" ht="21">
      <c r="A83" s="9" t="s">
        <v>229</v>
      </c>
      <c r="B83" s="268" t="s">
        <v>493</v>
      </c>
      <c r="C83" s="118" t="s">
        <v>303</v>
      </c>
      <c r="D83" s="118">
        <v>1.54</v>
      </c>
      <c r="E83" s="12" t="s">
        <v>300</v>
      </c>
      <c r="F83" s="13"/>
      <c r="G83" s="13"/>
      <c r="H83" s="13"/>
      <c r="I83" s="102">
        <v>80</v>
      </c>
      <c r="J83" s="102">
        <v>82</v>
      </c>
      <c r="K83" s="102">
        <v>83</v>
      </c>
      <c r="L83" s="102">
        <v>85</v>
      </c>
      <c r="M83" s="103" t="s">
        <v>12</v>
      </c>
    </row>
    <row r="84" spans="1:13" ht="21">
      <c r="A84" s="4"/>
      <c r="B84" s="269"/>
      <c r="C84" s="6"/>
      <c r="D84" s="6"/>
      <c r="E84" s="6" t="s">
        <v>301</v>
      </c>
      <c r="F84" s="49">
        <v>17.39</v>
      </c>
      <c r="G84" s="49">
        <v>87.5</v>
      </c>
      <c r="H84" s="30">
        <v>85</v>
      </c>
      <c r="I84" s="30"/>
      <c r="J84" s="8"/>
      <c r="K84" s="8"/>
      <c r="L84" s="8"/>
      <c r="M84" s="8"/>
    </row>
    <row r="85" spans="1:13" ht="21">
      <c r="A85" s="9" t="s">
        <v>231</v>
      </c>
      <c r="B85" s="268" t="s">
        <v>494</v>
      </c>
      <c r="C85" s="118" t="s">
        <v>348</v>
      </c>
      <c r="D85" s="118">
        <v>1.53</v>
      </c>
      <c r="E85" s="12" t="s">
        <v>300</v>
      </c>
      <c r="F85" s="13"/>
      <c r="G85" s="13"/>
      <c r="H85" s="13"/>
      <c r="I85" s="14">
        <v>20000</v>
      </c>
      <c r="J85" s="14">
        <v>20000</v>
      </c>
      <c r="K85" s="14">
        <v>20000</v>
      </c>
      <c r="L85" s="14">
        <v>20000</v>
      </c>
      <c r="M85" s="15">
        <v>20000</v>
      </c>
    </row>
    <row r="86" spans="1:13" ht="21">
      <c r="A86" s="4"/>
      <c r="B86" s="269"/>
      <c r="C86" s="6"/>
      <c r="D86" s="6"/>
      <c r="E86" s="6" t="s">
        <v>301</v>
      </c>
      <c r="F86" s="241">
        <v>16456.133333333335</v>
      </c>
      <c r="G86" s="241">
        <v>2453</v>
      </c>
      <c r="H86" s="241">
        <v>34708.04190476191</v>
      </c>
      <c r="I86" s="133"/>
      <c r="J86" s="8"/>
      <c r="K86" s="8"/>
      <c r="L86" s="8"/>
      <c r="M86" s="8"/>
    </row>
    <row r="87" spans="1:13" ht="21">
      <c r="A87" s="9" t="s">
        <v>234</v>
      </c>
      <c r="B87" s="268" t="s">
        <v>495</v>
      </c>
      <c r="C87" s="118" t="s">
        <v>303</v>
      </c>
      <c r="D87" s="118">
        <v>1.53</v>
      </c>
      <c r="E87" s="12" t="s">
        <v>300</v>
      </c>
      <c r="F87" s="13"/>
      <c r="G87" s="13"/>
      <c r="H87" s="13"/>
      <c r="I87" s="14">
        <v>100</v>
      </c>
      <c r="J87" s="14">
        <v>100</v>
      </c>
      <c r="K87" s="14">
        <v>100</v>
      </c>
      <c r="L87" s="14">
        <v>100</v>
      </c>
      <c r="M87" s="14">
        <v>100</v>
      </c>
    </row>
    <row r="88" spans="1:13" ht="21">
      <c r="A88" s="4"/>
      <c r="B88" s="269"/>
      <c r="C88" s="6"/>
      <c r="D88" s="6"/>
      <c r="E88" s="6" t="s">
        <v>301</v>
      </c>
      <c r="F88" s="8">
        <v>100</v>
      </c>
      <c r="G88" s="8">
        <v>100</v>
      </c>
      <c r="H88" s="8">
        <v>100</v>
      </c>
      <c r="I88" s="8"/>
      <c r="J88" s="8"/>
      <c r="K88" s="8"/>
      <c r="L88" s="8"/>
      <c r="M88" s="8"/>
    </row>
    <row r="89" spans="1:13" ht="21">
      <c r="A89" s="9" t="s">
        <v>236</v>
      </c>
      <c r="B89" s="268" t="s">
        <v>496</v>
      </c>
      <c r="C89" s="118" t="s">
        <v>299</v>
      </c>
      <c r="D89" s="118">
        <v>1.53</v>
      </c>
      <c r="E89" s="12" t="s">
        <v>300</v>
      </c>
      <c r="F89" s="130"/>
      <c r="G89" s="130"/>
      <c r="H89" s="130"/>
      <c r="I89" s="14">
        <v>3</v>
      </c>
      <c r="J89" s="14">
        <v>3</v>
      </c>
      <c r="K89" s="14">
        <v>3</v>
      </c>
      <c r="L89" s="14">
        <v>3</v>
      </c>
      <c r="M89" s="14">
        <v>3</v>
      </c>
    </row>
    <row r="90" spans="1:13" ht="21">
      <c r="A90" s="4"/>
      <c r="B90" s="269"/>
      <c r="C90" s="6"/>
      <c r="D90" s="6"/>
      <c r="E90" s="6" t="s">
        <v>301</v>
      </c>
      <c r="F90" s="31">
        <v>0</v>
      </c>
      <c r="G90" s="31">
        <v>1</v>
      </c>
      <c r="H90" s="28">
        <v>0</v>
      </c>
      <c r="I90" s="134"/>
      <c r="J90" s="134"/>
      <c r="K90" s="134"/>
      <c r="L90" s="134"/>
      <c r="M90" s="134"/>
    </row>
    <row r="91" spans="1:13" ht="21">
      <c r="A91" s="119" t="s">
        <v>401</v>
      </c>
      <c r="B91" s="268" t="s">
        <v>500</v>
      </c>
      <c r="C91" s="120" t="s">
        <v>403</v>
      </c>
      <c r="D91" s="120"/>
      <c r="E91" s="12" t="s">
        <v>300</v>
      </c>
      <c r="F91" s="130"/>
      <c r="G91" s="130"/>
      <c r="H91" s="130"/>
      <c r="I91" s="130"/>
      <c r="J91" s="130"/>
      <c r="K91" s="130"/>
      <c r="L91" s="130"/>
      <c r="M91" s="130"/>
    </row>
    <row r="92" spans="1:13" ht="21">
      <c r="A92" s="18"/>
      <c r="B92" s="278"/>
      <c r="C92" s="20"/>
      <c r="D92" s="20"/>
      <c r="E92" s="20" t="s">
        <v>301</v>
      </c>
      <c r="F92" s="131"/>
      <c r="G92" s="131"/>
      <c r="H92" s="131"/>
      <c r="I92" s="131"/>
      <c r="J92" s="131"/>
      <c r="K92" s="131"/>
      <c r="L92" s="131"/>
      <c r="M92" s="131"/>
    </row>
    <row r="93" spans="1:13" ht="21">
      <c r="A93" s="115" t="s">
        <v>251</v>
      </c>
      <c r="B93" s="116"/>
      <c r="C93" s="117"/>
      <c r="D93" s="117">
        <v>0</v>
      </c>
      <c r="E93" s="117"/>
      <c r="F93" s="117"/>
      <c r="G93" s="117"/>
      <c r="H93" s="117"/>
      <c r="I93" s="117"/>
      <c r="J93" s="117"/>
      <c r="K93" s="117"/>
      <c r="L93" s="117"/>
      <c r="M93" s="117"/>
    </row>
    <row r="94" spans="1:13" ht="21">
      <c r="A94" s="9" t="s">
        <v>258</v>
      </c>
      <c r="B94" s="283" t="s">
        <v>501</v>
      </c>
      <c r="C94" s="118" t="s">
        <v>299</v>
      </c>
      <c r="D94" s="118"/>
      <c r="E94" s="6" t="s">
        <v>300</v>
      </c>
      <c r="F94" s="140"/>
      <c r="G94" s="140"/>
      <c r="H94" s="140"/>
      <c r="I94" s="140"/>
      <c r="J94" s="140"/>
      <c r="K94" s="140"/>
      <c r="L94" s="140"/>
      <c r="M94" s="140"/>
    </row>
    <row r="95" spans="1:13" ht="21">
      <c r="A95" s="18"/>
      <c r="B95" s="278"/>
      <c r="C95" s="20"/>
      <c r="D95" s="20"/>
      <c r="E95" s="20" t="s">
        <v>301</v>
      </c>
      <c r="F95" s="131"/>
      <c r="G95" s="131"/>
      <c r="H95" s="131"/>
      <c r="I95" s="131"/>
      <c r="J95" s="131"/>
      <c r="K95" s="131"/>
      <c r="L95" s="131"/>
      <c r="M95" s="131"/>
    </row>
    <row r="96" ht="21">
      <c r="A96" s="137" t="s">
        <v>448</v>
      </c>
    </row>
    <row r="97" spans="1:2" ht="21">
      <c r="A97" s="139" t="s">
        <v>449</v>
      </c>
      <c r="B97" t="s">
        <v>450</v>
      </c>
    </row>
    <row r="98" spans="1:2" ht="21">
      <c r="A98" s="139" t="s">
        <v>451</v>
      </c>
      <c r="B98" t="s">
        <v>452</v>
      </c>
    </row>
    <row r="99" spans="1:2" ht="21">
      <c r="A99" s="139" t="s">
        <v>453</v>
      </c>
      <c r="B99" t="s">
        <v>454</v>
      </c>
    </row>
    <row r="100" spans="1:2" ht="21">
      <c r="A100" s="139" t="s">
        <v>455</v>
      </c>
      <c r="B100" t="s">
        <v>456</v>
      </c>
    </row>
  </sheetData>
  <mergeCells count="47">
    <mergeCell ref="B41:B42"/>
    <mergeCell ref="B46:B47"/>
    <mergeCell ref="B63:B64"/>
    <mergeCell ref="B66:B67"/>
    <mergeCell ref="B43:B44"/>
    <mergeCell ref="B58:B59"/>
    <mergeCell ref="B60:B61"/>
    <mergeCell ref="B50:B51"/>
    <mergeCell ref="B52:B53"/>
    <mergeCell ref="B54:B55"/>
    <mergeCell ref="B75:B76"/>
    <mergeCell ref="B94:B95"/>
    <mergeCell ref="B77:B78"/>
    <mergeCell ref="B70:B71"/>
    <mergeCell ref="B72:B73"/>
    <mergeCell ref="B91:B92"/>
    <mergeCell ref="B38:B39"/>
    <mergeCell ref="B48:B49"/>
    <mergeCell ref="B68:B69"/>
    <mergeCell ref="B89:B90"/>
    <mergeCell ref="B87:B88"/>
    <mergeCell ref="B85:B86"/>
    <mergeCell ref="B81:B82"/>
    <mergeCell ref="B83:B84"/>
    <mergeCell ref="B79:B80"/>
    <mergeCell ref="B56:B57"/>
    <mergeCell ref="B27:B28"/>
    <mergeCell ref="B11:B12"/>
    <mergeCell ref="B13:B14"/>
    <mergeCell ref="B15:B16"/>
    <mergeCell ref="B17:B18"/>
    <mergeCell ref="B19:B20"/>
    <mergeCell ref="B21:B22"/>
    <mergeCell ref="B23:B24"/>
    <mergeCell ref="B25:B26"/>
    <mergeCell ref="B30:B31"/>
    <mergeCell ref="B32:B33"/>
    <mergeCell ref="B34:B35"/>
    <mergeCell ref="B36:B37"/>
    <mergeCell ref="B5:B6"/>
    <mergeCell ref="B9:B10"/>
    <mergeCell ref="A2:B3"/>
    <mergeCell ref="I2:M2"/>
    <mergeCell ref="F2:H2"/>
    <mergeCell ref="C2:C3"/>
    <mergeCell ref="D2:D3"/>
    <mergeCell ref="E2:E3"/>
  </mergeCells>
  <printOptions/>
  <pageMargins left="0.5905511811023623" right="0.5905511811023623" top="0.7874015748031497" bottom="0.984251968503937" header="0.5118110236220472" footer="0.5118110236220472"/>
  <pageSetup fitToHeight="0" fitToWidth="1" horizontalDpi="600" verticalDpi="600" orientation="landscape" paperSize="9" scale="81" r:id="rId1"/>
  <headerFooter alignWithMargins="0">
    <oddFooter>&amp;L&amp;F&amp;R&amp;A 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8">
    <tabColor indexed="34"/>
    <pageSetUpPr fitToPage="1"/>
  </sheetPr>
  <dimension ref="A1:M102"/>
  <sheetViews>
    <sheetView zoomScale="90" zoomScaleNormal="90" workbookViewId="0" topLeftCell="A1">
      <pane xSplit="3" ySplit="3" topLeftCell="D31" activePane="bottomRight" state="frozen"/>
      <selection pane="topLeft" activeCell="B14" sqref="B14:B15"/>
      <selection pane="topRight" activeCell="B14" sqref="B14:B15"/>
      <selection pane="bottomLeft" activeCell="B14" sqref="B14:B15"/>
      <selection pane="bottomRight" activeCell="C36" sqref="C36"/>
    </sheetView>
  </sheetViews>
  <sheetFormatPr defaultColWidth="9.33203125" defaultRowHeight="21"/>
  <cols>
    <col min="1" max="1" width="9.16015625" style="153" customWidth="1"/>
    <col min="2" max="2" width="83.83203125" style="144" customWidth="1"/>
    <col min="3" max="3" width="10.5" style="54" customWidth="1"/>
    <col min="4" max="5" width="10.33203125" style="54" customWidth="1"/>
    <col min="6" max="8" width="10.16015625" style="54" bestFit="1" customWidth="1"/>
    <col min="9" max="13" width="14.5" style="54" customWidth="1"/>
    <col min="14" max="16384" width="9.33203125" style="144" customWidth="1"/>
  </cols>
  <sheetData>
    <row r="1" spans="1:13" ht="23.25">
      <c r="A1" s="112" t="s">
        <v>505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</row>
    <row r="2" spans="1:13" ht="25.5" customHeight="1">
      <c r="A2" s="274" t="s">
        <v>294</v>
      </c>
      <c r="B2" s="275"/>
      <c r="C2" s="293" t="s">
        <v>295</v>
      </c>
      <c r="D2" s="293" t="s">
        <v>296</v>
      </c>
      <c r="E2" s="293" t="s">
        <v>297</v>
      </c>
      <c r="F2" s="271" t="s">
        <v>3</v>
      </c>
      <c r="G2" s="271"/>
      <c r="H2" s="271"/>
      <c r="I2" s="271" t="s">
        <v>4</v>
      </c>
      <c r="J2" s="271"/>
      <c r="K2" s="271"/>
      <c r="L2" s="271"/>
      <c r="M2" s="271"/>
    </row>
    <row r="3" spans="1:13" ht="25.5" customHeight="1">
      <c r="A3" s="276"/>
      <c r="B3" s="277"/>
      <c r="C3" s="294"/>
      <c r="D3" s="294"/>
      <c r="E3" s="294"/>
      <c r="F3" s="114">
        <v>2547</v>
      </c>
      <c r="G3" s="114">
        <v>2548</v>
      </c>
      <c r="H3" s="114">
        <v>2549</v>
      </c>
      <c r="I3" s="114">
        <v>2550</v>
      </c>
      <c r="J3" s="114">
        <v>2551</v>
      </c>
      <c r="K3" s="114">
        <v>2552</v>
      </c>
      <c r="L3" s="114">
        <v>2553</v>
      </c>
      <c r="M3" s="114">
        <v>2554</v>
      </c>
    </row>
    <row r="4" spans="1:13" ht="21">
      <c r="A4" s="115" t="s">
        <v>5</v>
      </c>
      <c r="B4" s="145"/>
      <c r="C4" s="117"/>
      <c r="D4" s="117">
        <v>6.67</v>
      </c>
      <c r="E4" s="117"/>
      <c r="F4" s="117"/>
      <c r="G4" s="117"/>
      <c r="H4" s="117"/>
      <c r="I4" s="117"/>
      <c r="J4" s="117"/>
      <c r="K4" s="117"/>
      <c r="L4" s="117"/>
      <c r="M4" s="117"/>
    </row>
    <row r="5" spans="1:13" ht="21">
      <c r="A5" s="146" t="s">
        <v>9</v>
      </c>
      <c r="B5" s="289" t="s">
        <v>458</v>
      </c>
      <c r="C5" s="147" t="s">
        <v>303</v>
      </c>
      <c r="D5" s="147">
        <v>6.67</v>
      </c>
      <c r="E5" s="134" t="s">
        <v>300</v>
      </c>
      <c r="F5" s="7"/>
      <c r="G5" s="7"/>
      <c r="H5" s="7"/>
      <c r="I5" s="8">
        <v>85</v>
      </c>
      <c r="J5" s="8">
        <v>85</v>
      </c>
      <c r="K5" s="8">
        <v>85</v>
      </c>
      <c r="L5" s="8">
        <v>85</v>
      </c>
      <c r="M5" s="8">
        <v>85</v>
      </c>
    </row>
    <row r="6" spans="1:13" ht="21">
      <c r="A6" s="148"/>
      <c r="B6" s="290"/>
      <c r="C6" s="131"/>
      <c r="D6" s="131"/>
      <c r="E6" s="131" t="s">
        <v>301</v>
      </c>
      <c r="F6" s="22"/>
      <c r="G6" s="22"/>
      <c r="H6" s="22">
        <v>95</v>
      </c>
      <c r="I6" s="51"/>
      <c r="J6" s="22"/>
      <c r="K6" s="22"/>
      <c r="L6" s="22"/>
      <c r="M6" s="22"/>
    </row>
    <row r="7" spans="1:13" ht="21">
      <c r="A7" s="115" t="s">
        <v>31</v>
      </c>
      <c r="B7" s="145"/>
      <c r="C7" s="117"/>
      <c r="D7" s="117">
        <v>26.63</v>
      </c>
      <c r="E7" s="117"/>
      <c r="F7" s="117"/>
      <c r="G7" s="117"/>
      <c r="H7" s="117"/>
      <c r="I7" s="117"/>
      <c r="J7" s="117"/>
      <c r="K7" s="117"/>
      <c r="L7" s="117"/>
      <c r="M7" s="117"/>
    </row>
    <row r="8" spans="1:13" ht="21">
      <c r="A8" s="122" t="s">
        <v>305</v>
      </c>
      <c r="B8" s="149"/>
      <c r="C8" s="124"/>
      <c r="D8" s="124">
        <v>13.31</v>
      </c>
      <c r="E8" s="124"/>
      <c r="F8" s="124"/>
      <c r="G8" s="124"/>
      <c r="H8" s="124"/>
      <c r="I8" s="124"/>
      <c r="J8" s="124"/>
      <c r="K8" s="124"/>
      <c r="L8" s="124"/>
      <c r="M8" s="124"/>
    </row>
    <row r="9" spans="1:13" ht="21">
      <c r="A9" s="146" t="s">
        <v>32</v>
      </c>
      <c r="B9" s="289" t="s">
        <v>459</v>
      </c>
      <c r="C9" s="147" t="s">
        <v>315</v>
      </c>
      <c r="D9" s="147">
        <v>1.66</v>
      </c>
      <c r="E9" s="134" t="s">
        <v>300</v>
      </c>
      <c r="F9" s="140"/>
      <c r="G9" s="140"/>
      <c r="H9" s="140"/>
      <c r="I9" s="8">
        <v>6</v>
      </c>
      <c r="J9" s="8">
        <v>6</v>
      </c>
      <c r="K9" s="8">
        <v>6</v>
      </c>
      <c r="L9" s="8">
        <v>6</v>
      </c>
      <c r="M9" s="8">
        <v>6</v>
      </c>
    </row>
    <row r="10" spans="1:13" ht="21">
      <c r="A10" s="150"/>
      <c r="B10" s="291"/>
      <c r="C10" s="134"/>
      <c r="D10" s="134"/>
      <c r="E10" s="134" t="s">
        <v>301</v>
      </c>
      <c r="F10" s="8"/>
      <c r="G10" s="8"/>
      <c r="H10" s="8"/>
      <c r="I10" s="134"/>
      <c r="J10" s="248"/>
      <c r="K10" s="248"/>
      <c r="L10" s="248"/>
      <c r="M10" s="248"/>
    </row>
    <row r="11" spans="1:13" ht="21">
      <c r="A11" s="146" t="s">
        <v>36</v>
      </c>
      <c r="B11" s="292" t="s">
        <v>460</v>
      </c>
      <c r="C11" s="147" t="s">
        <v>315</v>
      </c>
      <c r="D11" s="147">
        <v>1.66</v>
      </c>
      <c r="E11" s="60" t="s">
        <v>300</v>
      </c>
      <c r="F11" s="13"/>
      <c r="G11" s="13"/>
      <c r="H11" s="13"/>
      <c r="I11" s="14">
        <v>6</v>
      </c>
      <c r="J11" s="14">
        <v>6</v>
      </c>
      <c r="K11" s="14">
        <v>6</v>
      </c>
      <c r="L11" s="14">
        <v>6</v>
      </c>
      <c r="M11" s="15" t="s">
        <v>146</v>
      </c>
    </row>
    <row r="12" spans="1:13" ht="21">
      <c r="A12" s="150"/>
      <c r="B12" s="291"/>
      <c r="C12" s="134"/>
      <c r="D12" s="134"/>
      <c r="E12" s="134" t="s">
        <v>301</v>
      </c>
      <c r="F12" s="8">
        <v>7</v>
      </c>
      <c r="G12" s="8">
        <v>7</v>
      </c>
      <c r="H12" s="8">
        <v>5</v>
      </c>
      <c r="I12" s="8"/>
      <c r="J12" s="8"/>
      <c r="K12" s="8"/>
      <c r="L12" s="8"/>
      <c r="M12" s="8"/>
    </row>
    <row r="13" spans="1:13" ht="21">
      <c r="A13" s="146" t="s">
        <v>42</v>
      </c>
      <c r="B13" s="292" t="s">
        <v>461</v>
      </c>
      <c r="C13" s="147" t="s">
        <v>303</v>
      </c>
      <c r="D13" s="147">
        <v>1.66</v>
      </c>
      <c r="E13" s="60" t="s">
        <v>300</v>
      </c>
      <c r="F13" s="13"/>
      <c r="G13" s="13"/>
      <c r="H13" s="13"/>
      <c r="I13" s="14">
        <v>-30</v>
      </c>
      <c r="J13" s="14">
        <v>-30</v>
      </c>
      <c r="K13" s="14">
        <v>-30</v>
      </c>
      <c r="L13" s="14">
        <v>-30</v>
      </c>
      <c r="M13" s="14">
        <v>-30</v>
      </c>
    </row>
    <row r="14" spans="1:13" ht="21">
      <c r="A14" s="150"/>
      <c r="B14" s="291"/>
      <c r="C14" s="134"/>
      <c r="D14" s="134"/>
      <c r="E14" s="134" t="s">
        <v>301</v>
      </c>
      <c r="F14" s="49">
        <v>-43.1</v>
      </c>
      <c r="G14" s="49">
        <v>-40.4</v>
      </c>
      <c r="H14" s="49">
        <v>-25.4</v>
      </c>
      <c r="I14" s="24"/>
      <c r="J14" s="8"/>
      <c r="K14" s="8"/>
      <c r="L14" s="8"/>
      <c r="M14" s="8"/>
    </row>
    <row r="15" spans="1:13" ht="21">
      <c r="A15" s="146" t="s">
        <v>46</v>
      </c>
      <c r="B15" s="292" t="s">
        <v>462</v>
      </c>
      <c r="C15" s="147" t="s">
        <v>303</v>
      </c>
      <c r="D15" s="147">
        <v>1.66</v>
      </c>
      <c r="E15" s="60" t="s">
        <v>300</v>
      </c>
      <c r="F15" s="130"/>
      <c r="G15" s="130"/>
      <c r="H15" s="130"/>
      <c r="I15" s="24" t="s">
        <v>60</v>
      </c>
      <c r="J15" s="24" t="s">
        <v>60</v>
      </c>
      <c r="K15" s="24" t="s">
        <v>60</v>
      </c>
      <c r="L15" s="24" t="s">
        <v>60</v>
      </c>
      <c r="M15" s="24" t="s">
        <v>60</v>
      </c>
    </row>
    <row r="16" spans="1:13" ht="21">
      <c r="A16" s="150"/>
      <c r="B16" s="291"/>
      <c r="C16" s="134"/>
      <c r="D16" s="134"/>
      <c r="E16" s="134" t="s">
        <v>301</v>
      </c>
      <c r="F16" s="8" t="s">
        <v>536</v>
      </c>
      <c r="G16" s="8" t="s">
        <v>522</v>
      </c>
      <c r="H16" s="49" t="s">
        <v>281</v>
      </c>
      <c r="I16" s="24"/>
      <c r="J16" s="134"/>
      <c r="K16" s="134"/>
      <c r="L16" s="134"/>
      <c r="M16" s="134"/>
    </row>
    <row r="17" spans="1:13" ht="21">
      <c r="A17" s="146" t="s">
        <v>67</v>
      </c>
      <c r="B17" s="292" t="s">
        <v>463</v>
      </c>
      <c r="C17" s="147" t="s">
        <v>303</v>
      </c>
      <c r="D17" s="147">
        <v>1.66</v>
      </c>
      <c r="E17" s="60" t="s">
        <v>300</v>
      </c>
      <c r="F17" s="130"/>
      <c r="G17" s="130"/>
      <c r="H17" s="130"/>
      <c r="I17" s="24" t="s">
        <v>77</v>
      </c>
      <c r="J17" s="24" t="s">
        <v>77</v>
      </c>
      <c r="K17" s="24" t="s">
        <v>77</v>
      </c>
      <c r="L17" s="24" t="s">
        <v>77</v>
      </c>
      <c r="M17" s="24" t="s">
        <v>77</v>
      </c>
    </row>
    <row r="18" spans="1:13" ht="21">
      <c r="A18" s="150"/>
      <c r="B18" s="291"/>
      <c r="C18" s="134"/>
      <c r="D18" s="134"/>
      <c r="E18" s="134" t="s">
        <v>301</v>
      </c>
      <c r="F18" s="8" t="s">
        <v>542</v>
      </c>
      <c r="G18" s="8" t="s">
        <v>529</v>
      </c>
      <c r="H18" s="49" t="s">
        <v>289</v>
      </c>
      <c r="I18" s="134"/>
      <c r="J18" s="134"/>
      <c r="K18" s="134"/>
      <c r="L18" s="134"/>
      <c r="M18" s="134"/>
    </row>
    <row r="19" spans="1:13" ht="21">
      <c r="A19" s="146" t="s">
        <v>87</v>
      </c>
      <c r="B19" s="292" t="s">
        <v>464</v>
      </c>
      <c r="C19" s="147" t="s">
        <v>315</v>
      </c>
      <c r="D19" s="147"/>
      <c r="E19" s="60" t="s">
        <v>300</v>
      </c>
      <c r="F19" s="130"/>
      <c r="G19" s="130"/>
      <c r="H19" s="130"/>
      <c r="I19" s="130"/>
      <c r="J19" s="130"/>
      <c r="K19" s="130"/>
      <c r="L19" s="130"/>
      <c r="M19" s="130"/>
    </row>
    <row r="20" spans="1:13" ht="21">
      <c r="A20" s="150"/>
      <c r="B20" s="291"/>
      <c r="C20" s="134"/>
      <c r="D20" s="134"/>
      <c r="E20" s="134" t="s">
        <v>301</v>
      </c>
      <c r="F20" s="134"/>
      <c r="G20" s="134"/>
      <c r="H20" s="134"/>
      <c r="I20" s="134"/>
      <c r="J20" s="134"/>
      <c r="K20" s="134"/>
      <c r="L20" s="134"/>
      <c r="M20" s="134"/>
    </row>
    <row r="21" spans="1:13" ht="21">
      <c r="A21" s="146" t="s">
        <v>96</v>
      </c>
      <c r="B21" s="292" t="s">
        <v>465</v>
      </c>
      <c r="C21" s="147" t="s">
        <v>303</v>
      </c>
      <c r="D21" s="147">
        <v>1.67</v>
      </c>
      <c r="E21" s="60" t="s">
        <v>300</v>
      </c>
      <c r="F21" s="13"/>
      <c r="G21" s="13"/>
      <c r="H21" s="13"/>
      <c r="I21" s="14">
        <v>100</v>
      </c>
      <c r="J21" s="14">
        <v>100</v>
      </c>
      <c r="K21" s="14">
        <v>100</v>
      </c>
      <c r="L21" s="14">
        <v>100</v>
      </c>
      <c r="M21" s="15" t="s">
        <v>98</v>
      </c>
    </row>
    <row r="22" spans="1:13" ht="21">
      <c r="A22" s="150"/>
      <c r="B22" s="291"/>
      <c r="C22" s="134"/>
      <c r="D22" s="134"/>
      <c r="E22" s="134" t="s">
        <v>301</v>
      </c>
      <c r="F22" s="8">
        <v>100</v>
      </c>
      <c r="G22" s="8">
        <v>100</v>
      </c>
      <c r="H22" s="8">
        <v>100</v>
      </c>
      <c r="I22" s="8"/>
      <c r="J22" s="8"/>
      <c r="K22" s="8"/>
      <c r="L22" s="8"/>
      <c r="M22" s="8"/>
    </row>
    <row r="23" spans="1:13" ht="21">
      <c r="A23" s="146" t="s">
        <v>99</v>
      </c>
      <c r="B23" s="292" t="s">
        <v>466</v>
      </c>
      <c r="C23" s="147" t="s">
        <v>299</v>
      </c>
      <c r="D23" s="147">
        <v>1.67</v>
      </c>
      <c r="E23" s="60" t="s">
        <v>300</v>
      </c>
      <c r="F23" s="13"/>
      <c r="G23" s="13"/>
      <c r="H23" s="13"/>
      <c r="I23" s="15" t="s">
        <v>102</v>
      </c>
      <c r="J23" s="15" t="s">
        <v>102</v>
      </c>
      <c r="K23" s="15" t="s">
        <v>102</v>
      </c>
      <c r="L23" s="15" t="s">
        <v>102</v>
      </c>
      <c r="M23" s="15" t="s">
        <v>102</v>
      </c>
    </row>
    <row r="24" spans="1:13" ht="21">
      <c r="A24" s="150"/>
      <c r="B24" s="291"/>
      <c r="C24" s="134"/>
      <c r="D24" s="134"/>
      <c r="E24" s="134" t="s">
        <v>301</v>
      </c>
      <c r="F24" s="8">
        <v>4.07</v>
      </c>
      <c r="G24" s="30">
        <v>4.2</v>
      </c>
      <c r="H24" s="30">
        <v>4.26</v>
      </c>
      <c r="I24" s="8"/>
      <c r="J24" s="8"/>
      <c r="K24" s="8"/>
      <c r="L24" s="8"/>
      <c r="M24" s="8"/>
    </row>
    <row r="25" spans="1:13" ht="21">
      <c r="A25" s="146" t="s">
        <v>105</v>
      </c>
      <c r="B25" s="292" t="s">
        <v>467</v>
      </c>
      <c r="C25" s="147" t="s">
        <v>325</v>
      </c>
      <c r="D25" s="147"/>
      <c r="E25" s="60" t="s">
        <v>300</v>
      </c>
      <c r="F25" s="13"/>
      <c r="G25" s="13"/>
      <c r="H25" s="13"/>
      <c r="I25" s="14">
        <v>1</v>
      </c>
      <c r="J25" s="14">
        <v>1</v>
      </c>
      <c r="K25" s="14">
        <v>1</v>
      </c>
      <c r="L25" s="141">
        <v>1</v>
      </c>
      <c r="M25" s="142" t="s">
        <v>168</v>
      </c>
    </row>
    <row r="26" spans="1:13" ht="21">
      <c r="A26" s="150"/>
      <c r="B26" s="291"/>
      <c r="C26" s="134"/>
      <c r="D26" s="134"/>
      <c r="E26" s="134" t="s">
        <v>301</v>
      </c>
      <c r="F26" s="8"/>
      <c r="G26" s="8"/>
      <c r="H26" s="8"/>
      <c r="I26" s="8"/>
      <c r="J26" s="8"/>
      <c r="K26" s="8"/>
      <c r="L26" s="8"/>
      <c r="M26" s="8"/>
    </row>
    <row r="27" spans="1:13" ht="21">
      <c r="A27" s="151" t="s">
        <v>109</v>
      </c>
      <c r="B27" s="292" t="s">
        <v>468</v>
      </c>
      <c r="C27" s="152" t="s">
        <v>303</v>
      </c>
      <c r="D27" s="152">
        <v>1.67</v>
      </c>
      <c r="E27" s="60" t="s">
        <v>300</v>
      </c>
      <c r="F27" s="13"/>
      <c r="G27" s="13"/>
      <c r="H27" s="13"/>
      <c r="I27" s="14">
        <v>85</v>
      </c>
      <c r="J27" s="14">
        <v>85</v>
      </c>
      <c r="K27" s="14">
        <v>85</v>
      </c>
      <c r="L27" s="14">
        <v>85</v>
      </c>
      <c r="M27" s="14">
        <v>85</v>
      </c>
    </row>
    <row r="28" spans="1:13" ht="21">
      <c r="A28" s="148"/>
      <c r="B28" s="290"/>
      <c r="C28" s="131"/>
      <c r="D28" s="131"/>
      <c r="E28" s="131" t="s">
        <v>301</v>
      </c>
      <c r="F28" s="51">
        <v>80.43478260869566</v>
      </c>
      <c r="G28" s="51">
        <v>88.63636363636364</v>
      </c>
      <c r="H28" s="51">
        <v>86.15384615384616</v>
      </c>
      <c r="I28" s="22"/>
      <c r="J28" s="22"/>
      <c r="K28" s="22"/>
      <c r="L28" s="22"/>
      <c r="M28" s="22"/>
    </row>
    <row r="29" spans="1:13" ht="21">
      <c r="A29" s="122" t="s">
        <v>328</v>
      </c>
      <c r="B29" s="123"/>
      <c r="C29" s="124"/>
      <c r="D29" s="124">
        <v>13.32</v>
      </c>
      <c r="E29" s="124"/>
      <c r="F29" s="124"/>
      <c r="G29" s="124"/>
      <c r="H29" s="124"/>
      <c r="I29" s="124"/>
      <c r="J29" s="124"/>
      <c r="K29" s="124"/>
      <c r="L29" s="124"/>
      <c r="M29" s="124"/>
    </row>
    <row r="30" spans="1:13" ht="21">
      <c r="A30" s="146" t="s">
        <v>115</v>
      </c>
      <c r="B30" s="288" t="s">
        <v>469</v>
      </c>
      <c r="C30" s="147" t="s">
        <v>303</v>
      </c>
      <c r="D30" s="147">
        <v>3.33</v>
      </c>
      <c r="E30" s="134" t="s">
        <v>300</v>
      </c>
      <c r="F30" s="140"/>
      <c r="G30" s="140"/>
      <c r="H30" s="140"/>
      <c r="I30" s="8">
        <v>100</v>
      </c>
      <c r="J30" s="8">
        <v>100</v>
      </c>
      <c r="K30" s="8">
        <v>100</v>
      </c>
      <c r="L30" s="8">
        <v>100</v>
      </c>
      <c r="M30" s="8">
        <v>100</v>
      </c>
    </row>
    <row r="31" spans="1:13" ht="21">
      <c r="A31" s="150"/>
      <c r="B31" s="286"/>
      <c r="C31" s="134"/>
      <c r="D31" s="134"/>
      <c r="E31" s="134" t="s">
        <v>301</v>
      </c>
      <c r="F31" s="8"/>
      <c r="G31" s="8"/>
      <c r="H31" s="8"/>
      <c r="I31" s="134"/>
      <c r="J31" s="134"/>
      <c r="K31" s="134"/>
      <c r="L31" s="134"/>
      <c r="M31" s="134"/>
    </row>
    <row r="32" spans="1:13" ht="21">
      <c r="A32" s="146" t="s">
        <v>117</v>
      </c>
      <c r="B32" s="284" t="s">
        <v>470</v>
      </c>
      <c r="C32" s="147" t="s">
        <v>303</v>
      </c>
      <c r="D32" s="147">
        <v>3.33</v>
      </c>
      <c r="E32" s="60" t="s">
        <v>300</v>
      </c>
      <c r="F32" s="13"/>
      <c r="G32" s="13"/>
      <c r="H32" s="13"/>
      <c r="I32" s="8">
        <v>100</v>
      </c>
      <c r="J32" s="8">
        <v>100</v>
      </c>
      <c r="K32" s="8">
        <v>100</v>
      </c>
      <c r="L32" s="8">
        <v>100</v>
      </c>
      <c r="M32" s="8">
        <v>100</v>
      </c>
    </row>
    <row r="33" spans="1:13" ht="21">
      <c r="A33" s="150"/>
      <c r="B33" s="286"/>
      <c r="C33" s="134"/>
      <c r="D33" s="134"/>
      <c r="E33" s="134" t="s">
        <v>301</v>
      </c>
      <c r="F33" s="30">
        <v>188.88888888888889</v>
      </c>
      <c r="G33" s="30">
        <v>70</v>
      </c>
      <c r="H33" s="30">
        <v>218.18</v>
      </c>
      <c r="I33" s="8"/>
      <c r="J33" s="8"/>
      <c r="K33" s="8"/>
      <c r="L33" s="8"/>
      <c r="M33" s="8"/>
    </row>
    <row r="34" spans="1:13" ht="21">
      <c r="A34" s="146" t="s">
        <v>123</v>
      </c>
      <c r="B34" s="284" t="s">
        <v>471</v>
      </c>
      <c r="C34" s="147" t="s">
        <v>303</v>
      </c>
      <c r="D34" s="147"/>
      <c r="E34" s="60" t="s">
        <v>300</v>
      </c>
      <c r="F34" s="13"/>
      <c r="G34" s="13"/>
      <c r="H34" s="13"/>
      <c r="I34" s="13"/>
      <c r="J34" s="13"/>
      <c r="K34" s="13"/>
      <c r="L34" s="13"/>
      <c r="M34" s="136"/>
    </row>
    <row r="35" spans="1:13" ht="21">
      <c r="A35" s="150"/>
      <c r="B35" s="286"/>
      <c r="C35" s="134"/>
      <c r="D35" s="134"/>
      <c r="E35" s="134" t="s">
        <v>301</v>
      </c>
      <c r="F35" s="8"/>
      <c r="G35" s="8"/>
      <c r="H35" s="8"/>
      <c r="I35" s="8"/>
      <c r="J35" s="8"/>
      <c r="K35" s="8"/>
      <c r="L35" s="8"/>
      <c r="M35" s="8"/>
    </row>
    <row r="36" spans="1:13" ht="21">
      <c r="A36" s="146" t="s">
        <v>125</v>
      </c>
      <c r="B36" s="284" t="s">
        <v>472</v>
      </c>
      <c r="C36" s="147" t="s">
        <v>303</v>
      </c>
      <c r="D36" s="147">
        <v>3.33</v>
      </c>
      <c r="E36" s="60" t="s">
        <v>300</v>
      </c>
      <c r="F36" s="13"/>
      <c r="G36" s="13"/>
      <c r="H36" s="13"/>
      <c r="I36" s="14">
        <v>15</v>
      </c>
      <c r="J36" s="14">
        <v>15</v>
      </c>
      <c r="K36" s="14">
        <v>15</v>
      </c>
      <c r="L36" s="14">
        <v>15</v>
      </c>
      <c r="M36" s="15" t="s">
        <v>128</v>
      </c>
    </row>
    <row r="37" spans="1:13" ht="21">
      <c r="A37" s="150"/>
      <c r="B37" s="286"/>
      <c r="C37" s="134"/>
      <c r="D37" s="134"/>
      <c r="E37" s="134" t="s">
        <v>301</v>
      </c>
      <c r="F37" s="8"/>
      <c r="G37" s="8"/>
      <c r="H37" s="30">
        <v>20.318725099601593</v>
      </c>
      <c r="I37" s="8"/>
      <c r="J37" s="8"/>
      <c r="K37" s="8"/>
      <c r="L37" s="8"/>
      <c r="M37" s="8"/>
    </row>
    <row r="38" spans="1:13" ht="21">
      <c r="A38" s="146" t="s">
        <v>130</v>
      </c>
      <c r="B38" s="284" t="s">
        <v>473</v>
      </c>
      <c r="C38" s="147" t="s">
        <v>303</v>
      </c>
      <c r="D38" s="147">
        <v>3.33</v>
      </c>
      <c r="E38" s="60" t="s">
        <v>300</v>
      </c>
      <c r="F38" s="13"/>
      <c r="G38" s="13"/>
      <c r="H38" s="13"/>
      <c r="I38" s="8">
        <v>100</v>
      </c>
      <c r="J38" s="8">
        <v>100</v>
      </c>
      <c r="K38" s="8">
        <v>100</v>
      </c>
      <c r="L38" s="8">
        <v>100</v>
      </c>
      <c r="M38" s="8">
        <v>100</v>
      </c>
    </row>
    <row r="39" spans="1:13" ht="21">
      <c r="A39" s="150"/>
      <c r="B39" s="286"/>
      <c r="C39" s="134"/>
      <c r="D39" s="134"/>
      <c r="E39" s="134" t="s">
        <v>301</v>
      </c>
      <c r="F39" s="8"/>
      <c r="G39" s="8"/>
      <c r="H39" s="8">
        <v>100</v>
      </c>
      <c r="I39" s="8"/>
      <c r="J39" s="8"/>
      <c r="K39" s="8"/>
      <c r="L39" s="8"/>
      <c r="M39" s="8"/>
    </row>
    <row r="40" spans="1:13" ht="21">
      <c r="A40" s="151" t="s">
        <v>335</v>
      </c>
      <c r="B40" s="284" t="s">
        <v>474</v>
      </c>
      <c r="C40" s="152" t="s">
        <v>337</v>
      </c>
      <c r="D40" s="152"/>
      <c r="E40" s="60" t="s">
        <v>300</v>
      </c>
      <c r="F40" s="296">
        <v>5</v>
      </c>
      <c r="G40" s="296">
        <v>5</v>
      </c>
      <c r="H40" s="296">
        <v>5</v>
      </c>
      <c r="I40" s="14">
        <v>15</v>
      </c>
      <c r="J40" s="14">
        <v>15</v>
      </c>
      <c r="K40" s="14">
        <v>15</v>
      </c>
      <c r="L40" s="141">
        <v>15</v>
      </c>
      <c r="M40" s="142" t="s">
        <v>128</v>
      </c>
    </row>
    <row r="41" spans="1:13" ht="21">
      <c r="A41" s="148"/>
      <c r="B41" s="285"/>
      <c r="C41" s="131"/>
      <c r="D41" s="131"/>
      <c r="E41" s="131" t="s">
        <v>301</v>
      </c>
      <c r="F41" s="297">
        <v>2</v>
      </c>
      <c r="G41" s="297">
        <v>3</v>
      </c>
      <c r="H41" s="297">
        <v>6</v>
      </c>
      <c r="I41" s="22"/>
      <c r="J41" s="22"/>
      <c r="K41" s="22"/>
      <c r="L41" s="22"/>
      <c r="M41" s="22"/>
    </row>
    <row r="42" spans="1:13" ht="21">
      <c r="A42" s="115" t="s">
        <v>132</v>
      </c>
      <c r="B42" s="116"/>
      <c r="C42" s="117"/>
      <c r="D42" s="117">
        <v>10</v>
      </c>
      <c r="E42" s="117"/>
      <c r="F42" s="117"/>
      <c r="G42" s="117"/>
      <c r="H42" s="117"/>
      <c r="I42" s="134"/>
      <c r="J42" s="134"/>
      <c r="K42" s="134"/>
      <c r="L42" s="134"/>
      <c r="M42" s="134"/>
    </row>
    <row r="43" spans="1:13" ht="21">
      <c r="A43" s="146" t="s">
        <v>138</v>
      </c>
      <c r="B43" s="288" t="s">
        <v>475</v>
      </c>
      <c r="C43" s="147" t="s">
        <v>303</v>
      </c>
      <c r="D43" s="147">
        <v>5</v>
      </c>
      <c r="E43" s="134" t="s">
        <v>300</v>
      </c>
      <c r="F43" s="7"/>
      <c r="G43" s="7"/>
      <c r="H43" s="7"/>
      <c r="I43" s="8">
        <v>60</v>
      </c>
      <c r="J43" s="8">
        <v>65</v>
      </c>
      <c r="K43" s="8">
        <v>70</v>
      </c>
      <c r="L43" s="8">
        <v>70</v>
      </c>
      <c r="M43" s="24" t="s">
        <v>140</v>
      </c>
    </row>
    <row r="44" spans="1:13" ht="21">
      <c r="A44" s="150"/>
      <c r="B44" s="286"/>
      <c r="C44" s="134"/>
      <c r="D44" s="134"/>
      <c r="E44" s="134" t="s">
        <v>301</v>
      </c>
      <c r="F44" s="8">
        <v>98.14</v>
      </c>
      <c r="G44" s="8">
        <v>100</v>
      </c>
      <c r="H44" s="30">
        <v>92.5</v>
      </c>
      <c r="I44" s="8"/>
      <c r="J44" s="8"/>
      <c r="K44" s="8"/>
      <c r="L44" s="8"/>
      <c r="M44" s="8"/>
    </row>
    <row r="45" spans="1:13" ht="21">
      <c r="A45" s="151" t="s">
        <v>141</v>
      </c>
      <c r="B45" s="284" t="s">
        <v>476</v>
      </c>
      <c r="C45" s="152" t="s">
        <v>303</v>
      </c>
      <c r="D45" s="152">
        <v>5</v>
      </c>
      <c r="E45" s="60" t="s">
        <v>300</v>
      </c>
      <c r="F45" s="130"/>
      <c r="G45" s="130"/>
      <c r="H45" s="130"/>
      <c r="I45" s="14">
        <v>99</v>
      </c>
      <c r="J45" s="14">
        <v>99</v>
      </c>
      <c r="K45" s="14">
        <v>99</v>
      </c>
      <c r="L45" s="14">
        <v>99</v>
      </c>
      <c r="M45" s="14">
        <v>99</v>
      </c>
    </row>
    <row r="46" spans="1:13" ht="21">
      <c r="A46" s="148"/>
      <c r="B46" s="285"/>
      <c r="C46" s="131"/>
      <c r="D46" s="131"/>
      <c r="E46" s="131" t="s">
        <v>301</v>
      </c>
      <c r="F46" s="22"/>
      <c r="G46" s="22"/>
      <c r="H46" s="51">
        <v>99.60159362549801</v>
      </c>
      <c r="I46" s="131"/>
      <c r="J46" s="131"/>
      <c r="K46" s="131"/>
      <c r="L46" s="131"/>
      <c r="M46" s="131"/>
    </row>
    <row r="47" spans="1:13" ht="21">
      <c r="A47" s="115" t="s">
        <v>143</v>
      </c>
      <c r="B47" s="116"/>
      <c r="C47" s="117"/>
      <c r="D47" s="117">
        <v>10</v>
      </c>
      <c r="E47" s="117"/>
      <c r="F47" s="117"/>
      <c r="G47" s="117"/>
      <c r="H47" s="117"/>
      <c r="I47" s="117"/>
      <c r="J47" s="117"/>
      <c r="K47" s="117"/>
      <c r="L47" s="117"/>
      <c r="M47" s="117"/>
    </row>
    <row r="48" spans="1:13" ht="21">
      <c r="A48" s="146" t="s">
        <v>149</v>
      </c>
      <c r="B48" s="288" t="s">
        <v>477</v>
      </c>
      <c r="C48" s="147" t="s">
        <v>348</v>
      </c>
      <c r="D48" s="147">
        <v>3</v>
      </c>
      <c r="E48" s="134" t="s">
        <v>300</v>
      </c>
      <c r="F48" s="7"/>
      <c r="G48" s="7"/>
      <c r="H48" s="7"/>
      <c r="I48" s="31">
        <v>200000</v>
      </c>
      <c r="J48" s="31">
        <v>200000</v>
      </c>
      <c r="K48" s="31">
        <v>200000</v>
      </c>
      <c r="L48" s="31">
        <v>200000</v>
      </c>
      <c r="M48" s="31">
        <v>200000</v>
      </c>
    </row>
    <row r="49" spans="1:13" ht="21">
      <c r="A49" s="150"/>
      <c r="B49" s="286"/>
      <c r="C49" s="134"/>
      <c r="D49" s="134"/>
      <c r="E49" s="134" t="s">
        <v>301</v>
      </c>
      <c r="F49" s="8"/>
      <c r="G49" s="8"/>
      <c r="H49" s="31">
        <v>469165.9286857143</v>
      </c>
      <c r="I49" s="31"/>
      <c r="J49" s="8"/>
      <c r="K49" s="8"/>
      <c r="L49" s="8"/>
      <c r="M49" s="8"/>
    </row>
    <row r="50" spans="1:13" ht="21">
      <c r="A50" s="146" t="s">
        <v>151</v>
      </c>
      <c r="B50" s="284" t="s">
        <v>478</v>
      </c>
      <c r="C50" s="147" t="s">
        <v>303</v>
      </c>
      <c r="D50" s="147">
        <v>3</v>
      </c>
      <c r="E50" s="60" t="s">
        <v>300</v>
      </c>
      <c r="F50" s="13"/>
      <c r="G50" s="13"/>
      <c r="H50" s="13"/>
      <c r="I50" s="14">
        <v>190</v>
      </c>
      <c r="J50" s="14">
        <v>190</v>
      </c>
      <c r="K50" s="14">
        <v>190</v>
      </c>
      <c r="L50" s="14">
        <v>190</v>
      </c>
      <c r="M50" s="14">
        <v>190</v>
      </c>
    </row>
    <row r="51" spans="1:13" ht="51" customHeight="1">
      <c r="A51" s="150"/>
      <c r="B51" s="286"/>
      <c r="C51" s="134"/>
      <c r="D51" s="134"/>
      <c r="E51" s="134" t="s">
        <v>301</v>
      </c>
      <c r="F51" s="49">
        <v>180.66666666666669</v>
      </c>
      <c r="G51" s="30">
        <v>240</v>
      </c>
      <c r="H51" s="49">
        <v>273.64285714285717</v>
      </c>
      <c r="I51" s="30"/>
      <c r="J51" s="8"/>
      <c r="K51" s="8"/>
      <c r="L51" s="8"/>
      <c r="M51" s="8"/>
    </row>
    <row r="52" spans="1:13" ht="21">
      <c r="A52" s="146" t="s">
        <v>154</v>
      </c>
      <c r="B52" s="284" t="s">
        <v>479</v>
      </c>
      <c r="C52" s="147" t="s">
        <v>348</v>
      </c>
      <c r="D52" s="147">
        <v>3</v>
      </c>
      <c r="E52" s="60" t="s">
        <v>300</v>
      </c>
      <c r="F52" s="43"/>
      <c r="G52" s="43"/>
      <c r="H52" s="43"/>
      <c r="I52" s="40">
        <v>80000</v>
      </c>
      <c r="J52" s="40">
        <v>80000</v>
      </c>
      <c r="K52" s="40">
        <v>80000</v>
      </c>
      <c r="L52" s="40">
        <v>80000</v>
      </c>
      <c r="M52" s="40">
        <v>80000</v>
      </c>
    </row>
    <row r="53" spans="1:13" ht="21">
      <c r="A53" s="150"/>
      <c r="B53" s="286"/>
      <c r="C53" s="134"/>
      <c r="D53" s="134"/>
      <c r="E53" s="134" t="s">
        <v>301</v>
      </c>
      <c r="F53" s="31"/>
      <c r="G53" s="31">
        <v>53659.5625</v>
      </c>
      <c r="H53" s="31">
        <v>224325.82154285716</v>
      </c>
      <c r="I53" s="31"/>
      <c r="J53" s="31"/>
      <c r="K53" s="31"/>
      <c r="L53" s="31"/>
      <c r="M53" s="31"/>
    </row>
    <row r="54" spans="1:13" ht="21">
      <c r="A54" s="146" t="s">
        <v>156</v>
      </c>
      <c r="B54" s="284" t="s">
        <v>480</v>
      </c>
      <c r="C54" s="147" t="s">
        <v>348</v>
      </c>
      <c r="D54" s="147">
        <v>3</v>
      </c>
      <c r="E54" s="60" t="s">
        <v>300</v>
      </c>
      <c r="F54" s="43"/>
      <c r="G54" s="43"/>
      <c r="H54" s="43"/>
      <c r="I54" s="40">
        <v>120000</v>
      </c>
      <c r="J54" s="40">
        <v>120000</v>
      </c>
      <c r="K54" s="40">
        <v>120000</v>
      </c>
      <c r="L54" s="40">
        <v>120000</v>
      </c>
      <c r="M54" s="40">
        <v>120000</v>
      </c>
    </row>
    <row r="55" spans="1:13" ht="21">
      <c r="A55" s="150"/>
      <c r="B55" s="286"/>
      <c r="C55" s="134"/>
      <c r="D55" s="134"/>
      <c r="E55" s="134" t="s">
        <v>301</v>
      </c>
      <c r="F55" s="31"/>
      <c r="G55" s="31">
        <v>132827.125</v>
      </c>
      <c r="H55" s="31">
        <v>244840.10714285713</v>
      </c>
      <c r="I55" s="31"/>
      <c r="J55" s="31"/>
      <c r="K55" s="31"/>
      <c r="L55" s="31"/>
      <c r="M55" s="31"/>
    </row>
    <row r="56" spans="1:13" ht="21">
      <c r="A56" s="146" t="s">
        <v>158</v>
      </c>
      <c r="B56" s="284" t="s">
        <v>481</v>
      </c>
      <c r="C56" s="147" t="s">
        <v>303</v>
      </c>
      <c r="D56" s="147">
        <v>3</v>
      </c>
      <c r="E56" s="60" t="s">
        <v>300</v>
      </c>
      <c r="F56" s="13"/>
      <c r="G56" s="13"/>
      <c r="H56" s="13"/>
      <c r="I56" s="14">
        <v>60</v>
      </c>
      <c r="J56" s="14">
        <v>60</v>
      </c>
      <c r="K56" s="14">
        <v>60</v>
      </c>
      <c r="L56" s="14">
        <v>60</v>
      </c>
      <c r="M56" s="14">
        <v>60</v>
      </c>
    </row>
    <row r="57" spans="1:13" ht="21">
      <c r="A57" s="150"/>
      <c r="B57" s="286"/>
      <c r="C57" s="134"/>
      <c r="D57" s="134"/>
      <c r="E57" s="134" t="s">
        <v>301</v>
      </c>
      <c r="F57" s="170">
        <v>40</v>
      </c>
      <c r="G57" s="104">
        <v>53.33</v>
      </c>
      <c r="H57" s="133">
        <v>100</v>
      </c>
      <c r="I57" s="127"/>
      <c r="J57" s="8"/>
      <c r="K57" s="8"/>
      <c r="L57" s="8"/>
      <c r="M57" s="8"/>
    </row>
    <row r="58" spans="1:13" ht="21">
      <c r="A58" s="146" t="s">
        <v>161</v>
      </c>
      <c r="B58" s="284" t="s">
        <v>482</v>
      </c>
      <c r="C58" s="147" t="s">
        <v>303</v>
      </c>
      <c r="D58" s="147">
        <v>3</v>
      </c>
      <c r="E58" s="60" t="s">
        <v>300</v>
      </c>
      <c r="F58" s="13"/>
      <c r="G58" s="13"/>
      <c r="H58" s="13"/>
      <c r="I58" s="14">
        <v>55</v>
      </c>
      <c r="J58" s="14">
        <v>55</v>
      </c>
      <c r="K58" s="14">
        <v>55</v>
      </c>
      <c r="L58" s="14">
        <v>55</v>
      </c>
      <c r="M58" s="14">
        <v>55</v>
      </c>
    </row>
    <row r="59" spans="1:13" ht="21">
      <c r="A59" s="150"/>
      <c r="B59" s="286"/>
      <c r="C59" s="134"/>
      <c r="D59" s="134"/>
      <c r="E59" s="134" t="s">
        <v>301</v>
      </c>
      <c r="F59" s="30">
        <v>60</v>
      </c>
      <c r="G59" s="8">
        <v>66.67</v>
      </c>
      <c r="H59" s="49">
        <v>57.14</v>
      </c>
      <c r="I59" s="127"/>
      <c r="J59" s="8"/>
      <c r="K59" s="8"/>
      <c r="L59" s="8"/>
      <c r="M59" s="8"/>
    </row>
    <row r="60" spans="1:13" ht="21">
      <c r="A60" s="146" t="s">
        <v>165</v>
      </c>
      <c r="B60" s="284" t="s">
        <v>483</v>
      </c>
      <c r="C60" s="147" t="s">
        <v>303</v>
      </c>
      <c r="D60" s="147">
        <v>3</v>
      </c>
      <c r="E60" s="60" t="s">
        <v>300</v>
      </c>
      <c r="F60" s="13"/>
      <c r="G60" s="13"/>
      <c r="H60" s="13"/>
      <c r="I60" s="105">
        <v>15</v>
      </c>
      <c r="J60" s="105">
        <v>15</v>
      </c>
      <c r="K60" s="105">
        <v>15</v>
      </c>
      <c r="L60" s="105">
        <v>15</v>
      </c>
      <c r="M60" s="105">
        <v>15</v>
      </c>
    </row>
    <row r="61" spans="1:13" ht="21">
      <c r="A61" s="150"/>
      <c r="B61" s="286"/>
      <c r="C61" s="134"/>
      <c r="D61" s="134"/>
      <c r="E61" s="134" t="s">
        <v>301</v>
      </c>
      <c r="F61" s="30">
        <v>4.666666666666666</v>
      </c>
      <c r="G61" s="49">
        <v>19.666666666666668</v>
      </c>
      <c r="H61" s="30">
        <v>17.5</v>
      </c>
      <c r="I61" s="30"/>
      <c r="J61" s="8"/>
      <c r="K61" s="8"/>
      <c r="L61" s="8"/>
      <c r="M61" s="8"/>
    </row>
    <row r="62" spans="1:13" ht="21">
      <c r="A62" s="146" t="s">
        <v>169</v>
      </c>
      <c r="B62" s="284" t="s">
        <v>355</v>
      </c>
      <c r="C62" s="147" t="s">
        <v>303</v>
      </c>
      <c r="D62" s="147">
        <v>3</v>
      </c>
      <c r="E62" s="60" t="s">
        <v>300</v>
      </c>
      <c r="F62" s="13"/>
      <c r="G62" s="13"/>
      <c r="H62" s="13"/>
      <c r="I62" s="14">
        <v>95</v>
      </c>
      <c r="J62" s="14">
        <v>95</v>
      </c>
      <c r="K62" s="14">
        <v>95</v>
      </c>
      <c r="L62" s="14">
        <v>95</v>
      </c>
      <c r="M62" s="14">
        <v>95</v>
      </c>
    </row>
    <row r="63" spans="1:13" ht="21">
      <c r="A63" s="150"/>
      <c r="B63" s="286"/>
      <c r="C63" s="134"/>
      <c r="D63" s="134"/>
      <c r="E63" s="134" t="s">
        <v>301</v>
      </c>
      <c r="F63" s="8"/>
      <c r="G63" s="8">
        <v>93.75</v>
      </c>
      <c r="H63" s="8">
        <v>93.75</v>
      </c>
      <c r="I63" s="127"/>
      <c r="J63" s="8"/>
      <c r="K63" s="8"/>
      <c r="L63" s="8"/>
      <c r="M63" s="8"/>
    </row>
    <row r="64" spans="1:13" ht="21">
      <c r="A64" s="122" t="s">
        <v>359</v>
      </c>
      <c r="B64" s="123"/>
      <c r="C64" s="124"/>
      <c r="D64" s="124">
        <v>10</v>
      </c>
      <c r="E64" s="124"/>
      <c r="F64" s="124"/>
      <c r="G64" s="124"/>
      <c r="H64" s="124"/>
      <c r="I64" s="124"/>
      <c r="J64" s="124"/>
      <c r="K64" s="124"/>
      <c r="L64" s="124"/>
      <c r="M64" s="124"/>
    </row>
    <row r="65" spans="1:13" ht="21">
      <c r="A65" s="146" t="s">
        <v>172</v>
      </c>
      <c r="B65" s="287" t="s">
        <v>484</v>
      </c>
      <c r="C65" s="147" t="s">
        <v>303</v>
      </c>
      <c r="D65" s="147">
        <v>10</v>
      </c>
      <c r="E65" s="134" t="s">
        <v>300</v>
      </c>
      <c r="F65" s="7"/>
      <c r="G65" s="7"/>
      <c r="H65" s="7"/>
      <c r="I65" s="8">
        <v>40</v>
      </c>
      <c r="J65" s="8">
        <v>40</v>
      </c>
      <c r="K65" s="8">
        <v>40</v>
      </c>
      <c r="L65" s="8">
        <v>40</v>
      </c>
      <c r="M65" s="8">
        <v>40</v>
      </c>
    </row>
    <row r="66" spans="1:13" ht="21">
      <c r="A66" s="148"/>
      <c r="B66" s="285"/>
      <c r="C66" s="131"/>
      <c r="D66" s="131"/>
      <c r="E66" s="131" t="s">
        <v>301</v>
      </c>
      <c r="F66" s="51">
        <v>37.5</v>
      </c>
      <c r="G66" s="51">
        <v>56.25</v>
      </c>
      <c r="H66" s="135">
        <v>64.28571428571429</v>
      </c>
      <c r="I66" s="51"/>
      <c r="J66" s="22"/>
      <c r="K66" s="22"/>
      <c r="L66" s="22"/>
      <c r="M66" s="22"/>
    </row>
    <row r="67" spans="1:13" ht="21">
      <c r="A67" s="115" t="s">
        <v>179</v>
      </c>
      <c r="B67" s="116"/>
      <c r="C67" s="117"/>
      <c r="D67" s="117">
        <v>5</v>
      </c>
      <c r="E67" s="117"/>
      <c r="F67" s="117"/>
      <c r="G67" s="117"/>
      <c r="H67" s="117"/>
      <c r="I67" s="117"/>
      <c r="J67" s="117"/>
      <c r="K67" s="117"/>
      <c r="L67" s="117"/>
      <c r="M67" s="117"/>
    </row>
    <row r="68" spans="1:13" ht="21">
      <c r="A68" s="146" t="s">
        <v>182</v>
      </c>
      <c r="B68" s="288" t="s">
        <v>485</v>
      </c>
      <c r="C68" s="147" t="s">
        <v>303</v>
      </c>
      <c r="D68" s="147">
        <v>2.5</v>
      </c>
      <c r="E68" s="134" t="s">
        <v>300</v>
      </c>
      <c r="F68" s="7"/>
      <c r="G68" s="7"/>
      <c r="H68" s="7"/>
      <c r="I68" s="8">
        <v>50</v>
      </c>
      <c r="J68" s="8">
        <v>50</v>
      </c>
      <c r="K68" s="8">
        <v>50</v>
      </c>
      <c r="L68" s="8">
        <v>50</v>
      </c>
      <c r="M68" s="24" t="s">
        <v>112</v>
      </c>
    </row>
    <row r="69" spans="1:13" ht="42" customHeight="1">
      <c r="A69" s="150"/>
      <c r="B69" s="286"/>
      <c r="C69" s="134"/>
      <c r="D69" s="134"/>
      <c r="E69" s="134" t="s">
        <v>301</v>
      </c>
      <c r="F69" s="30">
        <v>6.25</v>
      </c>
      <c r="G69" s="127">
        <v>6.25</v>
      </c>
      <c r="H69" s="30">
        <v>57.14285714285714</v>
      </c>
      <c r="I69" s="127"/>
      <c r="J69" s="8"/>
      <c r="K69" s="8"/>
      <c r="L69" s="8"/>
      <c r="M69" s="8"/>
    </row>
    <row r="70" spans="1:13" ht="21">
      <c r="A70" s="146" t="s">
        <v>189</v>
      </c>
      <c r="B70" s="284" t="s">
        <v>486</v>
      </c>
      <c r="C70" s="147" t="s">
        <v>303</v>
      </c>
      <c r="D70" s="147">
        <v>2.5</v>
      </c>
      <c r="E70" s="60" t="s">
        <v>300</v>
      </c>
      <c r="F70" s="13"/>
      <c r="G70" s="13"/>
      <c r="H70" s="13"/>
      <c r="I70" s="105">
        <v>30</v>
      </c>
      <c r="J70" s="105">
        <v>30</v>
      </c>
      <c r="K70" s="105">
        <v>30</v>
      </c>
      <c r="L70" s="105">
        <v>30</v>
      </c>
      <c r="M70" s="105">
        <v>30</v>
      </c>
    </row>
    <row r="71" spans="1:13" ht="21">
      <c r="A71" s="150"/>
      <c r="B71" s="286"/>
      <c r="C71" s="134"/>
      <c r="D71" s="134"/>
      <c r="E71" s="134" t="s">
        <v>301</v>
      </c>
      <c r="F71" s="170">
        <f>2/15*100</f>
        <v>13.333333333333334</v>
      </c>
      <c r="G71" s="175">
        <f>3/15*100</f>
        <v>20</v>
      </c>
      <c r="H71" s="175">
        <f>1/14*100</f>
        <v>7.142857142857142</v>
      </c>
      <c r="I71" s="49"/>
      <c r="J71" s="8"/>
      <c r="K71" s="8"/>
      <c r="L71" s="8"/>
      <c r="M71" s="8"/>
    </row>
    <row r="72" spans="1:13" ht="21">
      <c r="A72" s="146" t="s">
        <v>191</v>
      </c>
      <c r="B72" s="284" t="s">
        <v>487</v>
      </c>
      <c r="C72" s="147" t="s">
        <v>303</v>
      </c>
      <c r="D72" s="147"/>
      <c r="E72" s="60" t="s">
        <v>300</v>
      </c>
      <c r="F72" s="130"/>
      <c r="G72" s="130"/>
      <c r="H72" s="130"/>
      <c r="I72" s="130"/>
      <c r="J72" s="130"/>
      <c r="K72" s="130"/>
      <c r="L72" s="130"/>
      <c r="M72" s="130"/>
    </row>
    <row r="73" spans="1:13" ht="21">
      <c r="A73" s="150"/>
      <c r="B73" s="286"/>
      <c r="C73" s="134"/>
      <c r="D73" s="134"/>
      <c r="E73" s="134" t="s">
        <v>301</v>
      </c>
      <c r="F73" s="134"/>
      <c r="G73" s="134"/>
      <c r="H73" s="134"/>
      <c r="I73" s="134"/>
      <c r="J73" s="134"/>
      <c r="K73" s="134"/>
      <c r="L73" s="134"/>
      <c r="M73" s="134"/>
    </row>
    <row r="74" spans="1:13" ht="21">
      <c r="A74" s="151" t="s">
        <v>199</v>
      </c>
      <c r="B74" s="284" t="s">
        <v>488</v>
      </c>
      <c r="C74" s="152" t="s">
        <v>303</v>
      </c>
      <c r="D74" s="152"/>
      <c r="E74" s="60" t="s">
        <v>300</v>
      </c>
      <c r="F74" s="13"/>
      <c r="G74" s="13"/>
      <c r="H74" s="13"/>
      <c r="I74" s="13"/>
      <c r="J74" s="13"/>
      <c r="K74" s="13"/>
      <c r="L74" s="13"/>
      <c r="M74" s="136"/>
    </row>
    <row r="75" spans="1:13" ht="21">
      <c r="A75" s="148"/>
      <c r="B75" s="285"/>
      <c r="C75" s="131"/>
      <c r="D75" s="131"/>
      <c r="E75" s="131" t="s">
        <v>301</v>
      </c>
      <c r="F75" s="22"/>
      <c r="G75" s="22"/>
      <c r="H75" s="22"/>
      <c r="I75" s="22"/>
      <c r="J75" s="22"/>
      <c r="K75" s="22"/>
      <c r="L75" s="22"/>
      <c r="M75" s="22"/>
    </row>
    <row r="76" spans="1:13" ht="21">
      <c r="A76" s="115" t="s">
        <v>209</v>
      </c>
      <c r="B76" s="116"/>
      <c r="C76" s="117"/>
      <c r="D76" s="117">
        <v>12.25</v>
      </c>
      <c r="E76" s="117"/>
      <c r="F76" s="117"/>
      <c r="G76" s="117"/>
      <c r="H76" s="117"/>
      <c r="I76" s="117"/>
      <c r="J76" s="117"/>
      <c r="K76" s="117"/>
      <c r="L76" s="117"/>
      <c r="M76" s="117"/>
    </row>
    <row r="77" spans="1:13" ht="21">
      <c r="A77" s="146" t="s">
        <v>210</v>
      </c>
      <c r="B77" s="288" t="s">
        <v>489</v>
      </c>
      <c r="C77" s="147" t="s">
        <v>315</v>
      </c>
      <c r="D77" s="147">
        <v>1.53</v>
      </c>
      <c r="E77" s="134" t="s">
        <v>300</v>
      </c>
      <c r="F77" s="140"/>
      <c r="G77" s="140"/>
      <c r="H77" s="140"/>
      <c r="I77" s="8">
        <v>3</v>
      </c>
      <c r="J77" s="8">
        <v>3</v>
      </c>
      <c r="K77" s="8">
        <v>3</v>
      </c>
      <c r="L77" s="8">
        <v>3</v>
      </c>
      <c r="M77" s="8">
        <v>3</v>
      </c>
    </row>
    <row r="78" spans="1:13" ht="21">
      <c r="A78" s="150"/>
      <c r="B78" s="286"/>
      <c r="C78" s="134"/>
      <c r="D78" s="134"/>
      <c r="E78" s="134" t="s">
        <v>301</v>
      </c>
      <c r="F78" s="8"/>
      <c r="G78" s="8"/>
      <c r="H78" s="8"/>
      <c r="I78" s="134"/>
      <c r="J78" s="134"/>
      <c r="K78" s="134"/>
      <c r="L78" s="134"/>
      <c r="M78" s="134"/>
    </row>
    <row r="79" spans="1:13" ht="21">
      <c r="A79" s="146" t="s">
        <v>212</v>
      </c>
      <c r="B79" s="284" t="s">
        <v>490</v>
      </c>
      <c r="C79" s="147" t="s">
        <v>299</v>
      </c>
      <c r="D79" s="147">
        <v>1.53</v>
      </c>
      <c r="E79" s="60" t="s">
        <v>300</v>
      </c>
      <c r="F79" s="130"/>
      <c r="G79" s="130"/>
      <c r="H79" s="130"/>
      <c r="I79" s="14">
        <v>4</v>
      </c>
      <c r="J79" s="14">
        <v>4</v>
      </c>
      <c r="K79" s="14">
        <v>4</v>
      </c>
      <c r="L79" s="14">
        <v>4</v>
      </c>
      <c r="M79" s="14">
        <v>4</v>
      </c>
    </row>
    <row r="80" spans="1:13" ht="21">
      <c r="A80" s="150"/>
      <c r="B80" s="286"/>
      <c r="C80" s="134"/>
      <c r="D80" s="134"/>
      <c r="E80" s="134" t="s">
        <v>301</v>
      </c>
      <c r="F80" s="8"/>
      <c r="G80" s="8"/>
      <c r="H80" s="8"/>
      <c r="I80" s="134"/>
      <c r="J80" s="134"/>
      <c r="K80" s="134"/>
      <c r="L80" s="134"/>
      <c r="M80" s="134"/>
    </row>
    <row r="81" spans="1:13" ht="21">
      <c r="A81" s="146" t="s">
        <v>216</v>
      </c>
      <c r="B81" s="284" t="s">
        <v>491</v>
      </c>
      <c r="C81" s="147" t="s">
        <v>299</v>
      </c>
      <c r="D81" s="147">
        <v>1.53</v>
      </c>
      <c r="E81" s="60" t="s">
        <v>300</v>
      </c>
      <c r="F81" s="130"/>
      <c r="G81" s="130"/>
      <c r="H81" s="130"/>
      <c r="I81" s="14">
        <v>3</v>
      </c>
      <c r="J81" s="14">
        <v>3</v>
      </c>
      <c r="K81" s="14">
        <v>3</v>
      </c>
      <c r="L81" s="14">
        <v>3</v>
      </c>
      <c r="M81" s="14">
        <v>3</v>
      </c>
    </row>
    <row r="82" spans="1:13" ht="21">
      <c r="A82" s="150"/>
      <c r="B82" s="286"/>
      <c r="C82" s="134"/>
      <c r="D82" s="134"/>
      <c r="E82" s="134" t="s">
        <v>301</v>
      </c>
      <c r="F82" s="8"/>
      <c r="G82" s="8"/>
      <c r="H82" s="8"/>
      <c r="I82" s="134"/>
      <c r="J82" s="134"/>
      <c r="K82" s="134"/>
      <c r="L82" s="134"/>
      <c r="M82" s="134"/>
    </row>
    <row r="83" spans="1:13" ht="21">
      <c r="A83" s="146" t="s">
        <v>225</v>
      </c>
      <c r="B83" s="284" t="s">
        <v>492</v>
      </c>
      <c r="C83" s="147" t="s">
        <v>299</v>
      </c>
      <c r="D83" s="147">
        <v>1.53</v>
      </c>
      <c r="E83" s="60" t="s">
        <v>300</v>
      </c>
      <c r="F83" s="130"/>
      <c r="G83" s="130"/>
      <c r="H83" s="130"/>
      <c r="I83" s="14">
        <v>4</v>
      </c>
      <c r="J83" s="14">
        <v>4</v>
      </c>
      <c r="K83" s="14">
        <v>4</v>
      </c>
      <c r="L83" s="14">
        <v>4</v>
      </c>
      <c r="M83" s="14">
        <v>4</v>
      </c>
    </row>
    <row r="84" spans="1:13" ht="21">
      <c r="A84" s="150"/>
      <c r="B84" s="286"/>
      <c r="C84" s="134"/>
      <c r="D84" s="134"/>
      <c r="E84" s="134" t="s">
        <v>301</v>
      </c>
      <c r="F84" s="8"/>
      <c r="G84" s="8"/>
      <c r="H84" s="8"/>
      <c r="I84" s="134"/>
      <c r="J84" s="134"/>
      <c r="K84" s="134"/>
      <c r="L84" s="134"/>
      <c r="M84" s="134"/>
    </row>
    <row r="85" spans="1:13" ht="21">
      <c r="A85" s="146" t="s">
        <v>229</v>
      </c>
      <c r="B85" s="284" t="s">
        <v>493</v>
      </c>
      <c r="C85" s="147" t="s">
        <v>303</v>
      </c>
      <c r="D85" s="147">
        <v>1.54</v>
      </c>
      <c r="E85" s="60" t="s">
        <v>300</v>
      </c>
      <c r="F85" s="13"/>
      <c r="G85" s="13"/>
      <c r="H85" s="13"/>
      <c r="I85" s="14">
        <v>80</v>
      </c>
      <c r="J85" s="14">
        <v>80</v>
      </c>
      <c r="K85" s="14">
        <v>80</v>
      </c>
      <c r="L85" s="14">
        <v>80</v>
      </c>
      <c r="M85" s="14">
        <v>80</v>
      </c>
    </row>
    <row r="86" spans="1:13" ht="21">
      <c r="A86" s="150"/>
      <c r="B86" s="286"/>
      <c r="C86" s="134"/>
      <c r="D86" s="134"/>
      <c r="E86" s="134" t="s">
        <v>301</v>
      </c>
      <c r="F86" s="30">
        <v>33.33333333333333</v>
      </c>
      <c r="G86" s="30">
        <v>80</v>
      </c>
      <c r="H86" s="30">
        <v>57.14285714285714</v>
      </c>
      <c r="I86" s="30"/>
      <c r="J86" s="8"/>
      <c r="K86" s="8"/>
      <c r="L86" s="8"/>
      <c r="M86" s="8"/>
    </row>
    <row r="87" spans="1:13" ht="21">
      <c r="A87" s="146" t="s">
        <v>231</v>
      </c>
      <c r="B87" s="284" t="s">
        <v>494</v>
      </c>
      <c r="C87" s="147" t="s">
        <v>348</v>
      </c>
      <c r="D87" s="147">
        <v>1.53</v>
      </c>
      <c r="E87" s="60" t="s">
        <v>300</v>
      </c>
      <c r="F87" s="13"/>
      <c r="G87" s="13"/>
      <c r="H87" s="13"/>
      <c r="I87" s="40">
        <v>19000</v>
      </c>
      <c r="J87" s="40">
        <v>19000</v>
      </c>
      <c r="K87" s="40">
        <v>19000</v>
      </c>
      <c r="L87" s="40">
        <v>19000</v>
      </c>
      <c r="M87" s="40">
        <v>19000</v>
      </c>
    </row>
    <row r="88" spans="1:13" ht="21">
      <c r="A88" s="150"/>
      <c r="B88" s="286"/>
      <c r="C88" s="134"/>
      <c r="D88" s="134"/>
      <c r="E88" s="134" t="s">
        <v>301</v>
      </c>
      <c r="F88" s="31">
        <v>17960.17375</v>
      </c>
      <c r="G88" s="31">
        <v>13517.280625</v>
      </c>
      <c r="H88" s="31">
        <v>19570</v>
      </c>
      <c r="I88" s="133"/>
      <c r="J88" s="8"/>
      <c r="K88" s="8"/>
      <c r="L88" s="8"/>
      <c r="M88" s="8"/>
    </row>
    <row r="89" spans="1:13" ht="21">
      <c r="A89" s="146" t="s">
        <v>234</v>
      </c>
      <c r="B89" s="284" t="s">
        <v>495</v>
      </c>
      <c r="C89" s="147" t="s">
        <v>303</v>
      </c>
      <c r="D89" s="147">
        <v>1.53</v>
      </c>
      <c r="E89" s="60" t="s">
        <v>300</v>
      </c>
      <c r="F89" s="13"/>
      <c r="G89" s="13"/>
      <c r="H89" s="13"/>
      <c r="I89" s="14">
        <v>100</v>
      </c>
      <c r="J89" s="14">
        <v>100</v>
      </c>
      <c r="K89" s="14">
        <v>100</v>
      </c>
      <c r="L89" s="14">
        <v>100</v>
      </c>
      <c r="M89" s="15" t="s">
        <v>98</v>
      </c>
    </row>
    <row r="90" spans="1:13" ht="21">
      <c r="A90" s="150"/>
      <c r="B90" s="286"/>
      <c r="C90" s="134"/>
      <c r="D90" s="134"/>
      <c r="E90" s="134" t="s">
        <v>301</v>
      </c>
      <c r="F90" s="8">
        <v>100</v>
      </c>
      <c r="G90" s="8">
        <v>100</v>
      </c>
      <c r="H90" s="8">
        <v>100</v>
      </c>
      <c r="I90" s="8"/>
      <c r="J90" s="8"/>
      <c r="K90" s="8"/>
      <c r="L90" s="8"/>
      <c r="M90" s="8"/>
    </row>
    <row r="91" spans="1:13" ht="21">
      <c r="A91" s="146" t="s">
        <v>236</v>
      </c>
      <c r="B91" s="284" t="s">
        <v>496</v>
      </c>
      <c r="C91" s="147" t="s">
        <v>299</v>
      </c>
      <c r="D91" s="147">
        <v>1.53</v>
      </c>
      <c r="E91" s="60" t="s">
        <v>300</v>
      </c>
      <c r="F91" s="130"/>
      <c r="G91" s="130"/>
      <c r="H91" s="130"/>
      <c r="I91" s="14">
        <v>3</v>
      </c>
      <c r="J91" s="14">
        <v>3</v>
      </c>
      <c r="K91" s="14">
        <v>3</v>
      </c>
      <c r="L91" s="14">
        <v>3</v>
      </c>
      <c r="M91" s="14">
        <v>3</v>
      </c>
    </row>
    <row r="92" spans="1:13" ht="21">
      <c r="A92" s="150"/>
      <c r="B92" s="286"/>
      <c r="C92" s="134"/>
      <c r="D92" s="134"/>
      <c r="E92" s="134" t="s">
        <v>301</v>
      </c>
      <c r="F92" s="8"/>
      <c r="G92" s="8"/>
      <c r="H92" s="8"/>
      <c r="I92" s="134"/>
      <c r="J92" s="134"/>
      <c r="K92" s="134"/>
      <c r="L92" s="134"/>
      <c r="M92" s="134"/>
    </row>
    <row r="93" spans="1:13" ht="21">
      <c r="A93" s="151" t="s">
        <v>401</v>
      </c>
      <c r="B93" s="284" t="s">
        <v>500</v>
      </c>
      <c r="C93" s="152" t="s">
        <v>403</v>
      </c>
      <c r="D93" s="152"/>
      <c r="E93" s="60" t="s">
        <v>300</v>
      </c>
      <c r="F93" s="130"/>
      <c r="G93" s="130"/>
      <c r="H93" s="130"/>
      <c r="I93" s="130"/>
      <c r="J93" s="130"/>
      <c r="K93" s="130"/>
      <c r="L93" s="130"/>
      <c r="M93" s="130"/>
    </row>
    <row r="94" spans="1:13" ht="21">
      <c r="A94" s="148"/>
      <c r="B94" s="285"/>
      <c r="C94" s="131"/>
      <c r="D94" s="131"/>
      <c r="E94" s="131" t="s">
        <v>301</v>
      </c>
      <c r="F94" s="131"/>
      <c r="G94" s="131"/>
      <c r="H94" s="131"/>
      <c r="I94" s="131"/>
      <c r="J94" s="131"/>
      <c r="K94" s="131"/>
      <c r="L94" s="131"/>
      <c r="M94" s="131"/>
    </row>
    <row r="95" spans="1:13" ht="21">
      <c r="A95" s="115" t="s">
        <v>251</v>
      </c>
      <c r="B95" s="116"/>
      <c r="C95" s="117"/>
      <c r="D95" s="117">
        <v>0</v>
      </c>
      <c r="E95" s="117"/>
      <c r="F95" s="117"/>
      <c r="G95" s="117"/>
      <c r="H95" s="117"/>
      <c r="I95" s="117"/>
      <c r="J95" s="117"/>
      <c r="K95" s="117"/>
      <c r="L95" s="117"/>
      <c r="M95" s="117"/>
    </row>
    <row r="96" spans="1:13" ht="21">
      <c r="A96" s="146" t="s">
        <v>258</v>
      </c>
      <c r="B96" s="287" t="s">
        <v>501</v>
      </c>
      <c r="C96" s="147" t="s">
        <v>299</v>
      </c>
      <c r="D96" s="147"/>
      <c r="E96" s="134" t="s">
        <v>300</v>
      </c>
      <c r="F96" s="140"/>
      <c r="G96" s="140"/>
      <c r="H96" s="140"/>
      <c r="I96" s="140"/>
      <c r="J96" s="140"/>
      <c r="K96" s="140"/>
      <c r="L96" s="140"/>
      <c r="M96" s="140"/>
    </row>
    <row r="97" spans="1:13" ht="21">
      <c r="A97" s="148"/>
      <c r="B97" s="285"/>
      <c r="C97" s="131"/>
      <c r="D97" s="131"/>
      <c r="E97" s="131" t="s">
        <v>301</v>
      </c>
      <c r="F97" s="131"/>
      <c r="G97" s="131"/>
      <c r="H97" s="131"/>
      <c r="I97" s="131"/>
      <c r="J97" s="131"/>
      <c r="K97" s="131"/>
      <c r="L97" s="131"/>
      <c r="M97" s="131"/>
    </row>
    <row r="98" ht="21">
      <c r="A98" s="153" t="s">
        <v>448</v>
      </c>
    </row>
    <row r="99" spans="1:2" ht="21">
      <c r="A99" s="154" t="s">
        <v>449</v>
      </c>
      <c r="B99" s="144" t="s">
        <v>450</v>
      </c>
    </row>
    <row r="100" spans="1:2" ht="21">
      <c r="A100" s="154" t="s">
        <v>451</v>
      </c>
      <c r="B100" s="144" t="s">
        <v>452</v>
      </c>
    </row>
    <row r="101" spans="1:2" ht="21">
      <c r="A101" s="154" t="s">
        <v>453</v>
      </c>
      <c r="B101" s="144" t="s">
        <v>454</v>
      </c>
    </row>
    <row r="102" spans="1:2" ht="21">
      <c r="A102" s="154" t="s">
        <v>455</v>
      </c>
      <c r="B102" s="144" t="s">
        <v>456</v>
      </c>
    </row>
  </sheetData>
  <mergeCells count="48">
    <mergeCell ref="B91:B92"/>
    <mergeCell ref="B13:B14"/>
    <mergeCell ref="B15:B16"/>
    <mergeCell ref="B17:B18"/>
    <mergeCell ref="B19:B20"/>
    <mergeCell ref="B21:B22"/>
    <mergeCell ref="B23:B24"/>
    <mergeCell ref="B25:B26"/>
    <mergeCell ref="B30:B31"/>
    <mergeCell ref="B32:B33"/>
    <mergeCell ref="A2:B3"/>
    <mergeCell ref="I2:M2"/>
    <mergeCell ref="F2:H2"/>
    <mergeCell ref="C2:C3"/>
    <mergeCell ref="D2:D3"/>
    <mergeCell ref="E2:E3"/>
    <mergeCell ref="B34:B35"/>
    <mergeCell ref="B36:B37"/>
    <mergeCell ref="B5:B6"/>
    <mergeCell ref="B9:B10"/>
    <mergeCell ref="B27:B28"/>
    <mergeCell ref="B11:B12"/>
    <mergeCell ref="B70:B71"/>
    <mergeCell ref="B72:B73"/>
    <mergeCell ref="B43:B44"/>
    <mergeCell ref="B38:B39"/>
    <mergeCell ref="B48:B49"/>
    <mergeCell ref="B68:B69"/>
    <mergeCell ref="B56:B57"/>
    <mergeCell ref="B58:B59"/>
    <mergeCell ref="B60:B61"/>
    <mergeCell ref="B50:B51"/>
    <mergeCell ref="B74:B75"/>
    <mergeCell ref="B93:B94"/>
    <mergeCell ref="B96:B97"/>
    <mergeCell ref="B77:B78"/>
    <mergeCell ref="B89:B90"/>
    <mergeCell ref="B87:B88"/>
    <mergeCell ref="B85:B86"/>
    <mergeCell ref="B81:B82"/>
    <mergeCell ref="B83:B84"/>
    <mergeCell ref="B79:B80"/>
    <mergeCell ref="B40:B41"/>
    <mergeCell ref="B45:B46"/>
    <mergeCell ref="B62:B63"/>
    <mergeCell ref="B65:B66"/>
    <mergeCell ref="B52:B53"/>
    <mergeCell ref="B54:B55"/>
  </mergeCells>
  <printOptions/>
  <pageMargins left="0.5905511811023623" right="0.5905511811023623" top="0.7874015748031497" bottom="0.984251968503937" header="0.5118110236220472" footer="0.5118110236220472"/>
  <pageSetup fitToHeight="0" fitToWidth="1" horizontalDpi="600" verticalDpi="600" orientation="landscape" paperSize="9" scale="69" r:id="rId1"/>
  <headerFooter alignWithMargins="0">
    <oddFooter>&amp;L&amp;F&amp;R&amp;A 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28">
    <tabColor indexed="34"/>
    <pageSetUpPr fitToPage="1"/>
  </sheetPr>
  <dimension ref="A1:N102"/>
  <sheetViews>
    <sheetView zoomScale="90" zoomScaleNormal="90" workbookViewId="0" topLeftCell="A1">
      <pane xSplit="3" ySplit="3" topLeftCell="D46" activePane="bottomRight" state="frozen"/>
      <selection pane="topLeft" activeCell="B14" sqref="B14:B15"/>
      <selection pane="topRight" activeCell="B14" sqref="B14:B15"/>
      <selection pane="bottomLeft" activeCell="B14" sqref="B14:B15"/>
      <selection pane="bottomRight" activeCell="I9" sqref="I9"/>
    </sheetView>
  </sheetViews>
  <sheetFormatPr defaultColWidth="9.33203125" defaultRowHeight="21"/>
  <cols>
    <col min="1" max="1" width="7.33203125" style="137" customWidth="1"/>
    <col min="2" max="2" width="83.83203125" style="0" customWidth="1"/>
    <col min="3" max="5" width="10.33203125" style="138" customWidth="1"/>
    <col min="6" max="7" width="10.16015625" style="54" bestFit="1" customWidth="1"/>
    <col min="8" max="8" width="12.16015625" style="54" customWidth="1"/>
    <col min="9" max="13" width="11.33203125" style="54" customWidth="1"/>
  </cols>
  <sheetData>
    <row r="1" spans="1:13" ht="23.25">
      <c r="A1" s="112" t="s">
        <v>506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</row>
    <row r="2" spans="1:13" ht="25.5" customHeight="1">
      <c r="A2" s="274" t="s">
        <v>294</v>
      </c>
      <c r="B2" s="275"/>
      <c r="C2" s="272" t="s">
        <v>295</v>
      </c>
      <c r="D2" s="272" t="s">
        <v>296</v>
      </c>
      <c r="E2" s="272" t="s">
        <v>297</v>
      </c>
      <c r="F2" s="271" t="s">
        <v>3</v>
      </c>
      <c r="G2" s="271"/>
      <c r="H2" s="271"/>
      <c r="I2" s="271" t="s">
        <v>4</v>
      </c>
      <c r="J2" s="271"/>
      <c r="K2" s="271"/>
      <c r="L2" s="271"/>
      <c r="M2" s="271"/>
    </row>
    <row r="3" spans="1:13" ht="25.5" customHeight="1">
      <c r="A3" s="276"/>
      <c r="B3" s="277"/>
      <c r="C3" s="273"/>
      <c r="D3" s="273"/>
      <c r="E3" s="273"/>
      <c r="F3" s="114">
        <v>2547</v>
      </c>
      <c r="G3" s="114">
        <v>2548</v>
      </c>
      <c r="H3" s="114">
        <v>2549</v>
      </c>
      <c r="I3" s="114">
        <v>2550</v>
      </c>
      <c r="J3" s="114">
        <v>2551</v>
      </c>
      <c r="K3" s="114">
        <v>2552</v>
      </c>
      <c r="L3" s="114">
        <v>2553</v>
      </c>
      <c r="M3" s="114">
        <v>2554</v>
      </c>
    </row>
    <row r="4" spans="1:13" ht="21">
      <c r="A4" s="115" t="s">
        <v>5</v>
      </c>
      <c r="B4" s="116"/>
      <c r="C4" s="117"/>
      <c r="D4" s="117">
        <v>6.67</v>
      </c>
      <c r="E4" s="117"/>
      <c r="F4" s="117"/>
      <c r="G4" s="117"/>
      <c r="H4" s="117"/>
      <c r="I4" s="117"/>
      <c r="J4" s="117"/>
      <c r="K4" s="117"/>
      <c r="L4" s="117"/>
      <c r="M4" s="117"/>
    </row>
    <row r="5" spans="1:13" ht="21">
      <c r="A5" s="9" t="s">
        <v>9</v>
      </c>
      <c r="B5" s="283" t="s">
        <v>458</v>
      </c>
      <c r="C5" s="118" t="s">
        <v>303</v>
      </c>
      <c r="D5" s="118">
        <v>6.67</v>
      </c>
      <c r="E5" s="6" t="s">
        <v>300</v>
      </c>
      <c r="F5" s="7"/>
      <c r="G5" s="7"/>
      <c r="H5" s="7"/>
      <c r="I5" s="8">
        <v>85</v>
      </c>
      <c r="J5" s="8">
        <v>85</v>
      </c>
      <c r="K5" s="8">
        <v>85</v>
      </c>
      <c r="L5" s="8">
        <v>85</v>
      </c>
      <c r="M5" s="8">
        <v>85</v>
      </c>
    </row>
    <row r="6" spans="1:13" ht="21">
      <c r="A6" s="18"/>
      <c r="B6" s="278"/>
      <c r="C6" s="20"/>
      <c r="D6" s="20"/>
      <c r="E6" s="20" t="s">
        <v>301</v>
      </c>
      <c r="F6" s="22"/>
      <c r="G6" s="22"/>
      <c r="H6" s="22"/>
      <c r="I6" s="51"/>
      <c r="J6" s="22"/>
      <c r="K6" s="22"/>
      <c r="L6" s="22"/>
      <c r="M6" s="22"/>
    </row>
    <row r="7" spans="1:13" ht="21">
      <c r="A7" s="115" t="s">
        <v>31</v>
      </c>
      <c r="B7" s="116"/>
      <c r="C7" s="117"/>
      <c r="D7" s="117">
        <v>26.63</v>
      </c>
      <c r="E7" s="117"/>
      <c r="F7" s="117"/>
      <c r="G7" s="117"/>
      <c r="H7" s="117"/>
      <c r="I7" s="117"/>
      <c r="J7" s="117"/>
      <c r="K7" s="117"/>
      <c r="L7" s="117"/>
      <c r="M7" s="117"/>
    </row>
    <row r="8" spans="1:13" ht="21">
      <c r="A8" s="122" t="s">
        <v>305</v>
      </c>
      <c r="B8" s="123"/>
      <c r="C8" s="124"/>
      <c r="D8" s="124">
        <v>13.31</v>
      </c>
      <c r="E8" s="124"/>
      <c r="F8" s="124"/>
      <c r="G8" s="124"/>
      <c r="H8" s="124"/>
      <c r="I8" s="124"/>
      <c r="J8" s="124"/>
      <c r="K8" s="124"/>
      <c r="L8" s="124"/>
      <c r="M8" s="124"/>
    </row>
    <row r="9" spans="1:13" ht="21">
      <c r="A9" s="9" t="s">
        <v>32</v>
      </c>
      <c r="B9" s="270" t="s">
        <v>459</v>
      </c>
      <c r="C9" s="118" t="s">
        <v>315</v>
      </c>
      <c r="D9" s="118">
        <v>1.66</v>
      </c>
      <c r="E9" s="6" t="s">
        <v>300</v>
      </c>
      <c r="F9" s="140"/>
      <c r="G9" s="140"/>
      <c r="H9" s="140"/>
      <c r="I9" s="8">
        <v>7</v>
      </c>
      <c r="J9" s="8">
        <v>7</v>
      </c>
      <c r="K9" s="8">
        <v>7</v>
      </c>
      <c r="L9" s="8">
        <v>7</v>
      </c>
      <c r="M9" s="8">
        <v>7</v>
      </c>
    </row>
    <row r="10" spans="1:13" ht="21">
      <c r="A10" s="4"/>
      <c r="B10" s="269"/>
      <c r="C10" s="6"/>
      <c r="D10" s="6"/>
      <c r="E10" s="6" t="s">
        <v>301</v>
      </c>
      <c r="F10" s="8"/>
      <c r="G10" s="8"/>
      <c r="H10" s="8"/>
      <c r="I10" s="134"/>
      <c r="J10" s="248"/>
      <c r="K10" s="248"/>
      <c r="L10" s="248"/>
      <c r="M10" s="248"/>
    </row>
    <row r="11" spans="1:14" ht="21">
      <c r="A11" s="9" t="s">
        <v>36</v>
      </c>
      <c r="B11" s="268" t="s">
        <v>460</v>
      </c>
      <c r="C11" s="118" t="s">
        <v>315</v>
      </c>
      <c r="D11" s="118">
        <v>1.66</v>
      </c>
      <c r="E11" s="12" t="s">
        <v>300</v>
      </c>
      <c r="F11" s="13"/>
      <c r="G11" s="13"/>
      <c r="H11" s="13"/>
      <c r="I11" s="14">
        <v>7</v>
      </c>
      <c r="J11" s="14">
        <v>7</v>
      </c>
      <c r="K11" s="14">
        <v>7</v>
      </c>
      <c r="L11" s="14">
        <v>7</v>
      </c>
      <c r="M11" s="15" t="s">
        <v>34</v>
      </c>
      <c r="N11" s="251"/>
    </row>
    <row r="12" spans="1:13" ht="21">
      <c r="A12" s="4"/>
      <c r="B12" s="269"/>
      <c r="C12" s="6"/>
      <c r="D12" s="6"/>
      <c r="E12" s="6" t="s">
        <v>301</v>
      </c>
      <c r="F12" s="8"/>
      <c r="G12" s="8"/>
      <c r="H12" s="8">
        <v>5</v>
      </c>
      <c r="I12" s="8"/>
      <c r="J12" s="8"/>
      <c r="K12" s="8"/>
      <c r="L12" s="8"/>
      <c r="M12" s="8"/>
    </row>
    <row r="13" spans="1:13" ht="21">
      <c r="A13" s="9" t="s">
        <v>42</v>
      </c>
      <c r="B13" s="268" t="s">
        <v>461</v>
      </c>
      <c r="C13" s="118" t="s">
        <v>303</v>
      </c>
      <c r="D13" s="118">
        <v>1.66</v>
      </c>
      <c r="E13" s="12" t="s">
        <v>300</v>
      </c>
      <c r="F13" s="13"/>
      <c r="G13" s="13"/>
      <c r="H13" s="13"/>
      <c r="I13" s="14">
        <v>-40</v>
      </c>
      <c r="J13" s="14">
        <v>-40</v>
      </c>
      <c r="K13" s="14">
        <v>-35</v>
      </c>
      <c r="L13" s="14">
        <v>-35</v>
      </c>
      <c r="M13" s="15" t="s">
        <v>45</v>
      </c>
    </row>
    <row r="14" spans="1:13" ht="21">
      <c r="A14" s="4"/>
      <c r="B14" s="269"/>
      <c r="C14" s="6"/>
      <c r="D14" s="6"/>
      <c r="E14" s="6" t="s">
        <v>301</v>
      </c>
      <c r="F14" s="8"/>
      <c r="G14" s="8"/>
      <c r="H14" s="49">
        <v>-29.05</v>
      </c>
      <c r="I14" s="24"/>
      <c r="J14" s="8"/>
      <c r="K14" s="24"/>
      <c r="L14" s="8"/>
      <c r="M14" s="8"/>
    </row>
    <row r="15" spans="1:13" ht="21">
      <c r="A15" s="9" t="s">
        <v>46</v>
      </c>
      <c r="B15" s="268" t="s">
        <v>462</v>
      </c>
      <c r="C15" s="118" t="s">
        <v>303</v>
      </c>
      <c r="D15" s="118">
        <v>1.66</v>
      </c>
      <c r="E15" s="12" t="s">
        <v>300</v>
      </c>
      <c r="F15" s="130"/>
      <c r="G15" s="130"/>
      <c r="H15" s="130"/>
      <c r="I15" s="24" t="s">
        <v>61</v>
      </c>
      <c r="J15" s="24" t="s">
        <v>61</v>
      </c>
      <c r="K15" s="24" t="s">
        <v>282</v>
      </c>
      <c r="L15" s="24" t="s">
        <v>282</v>
      </c>
      <c r="M15" s="24" t="s">
        <v>282</v>
      </c>
    </row>
    <row r="16" spans="1:13" ht="21">
      <c r="A16" s="4"/>
      <c r="B16" s="269"/>
      <c r="C16" s="6"/>
      <c r="D16" s="6"/>
      <c r="E16" s="6" t="s">
        <v>301</v>
      </c>
      <c r="F16" s="8" t="s">
        <v>537</v>
      </c>
      <c r="G16" s="8" t="s">
        <v>523</v>
      </c>
      <c r="H16" s="24" t="s">
        <v>517</v>
      </c>
      <c r="I16" s="24"/>
      <c r="J16" s="24"/>
      <c r="K16" s="24"/>
      <c r="L16" s="24"/>
      <c r="M16" s="24"/>
    </row>
    <row r="17" spans="1:13" ht="21">
      <c r="A17" s="9" t="s">
        <v>67</v>
      </c>
      <c r="B17" s="268" t="s">
        <v>463</v>
      </c>
      <c r="C17" s="118" t="s">
        <v>303</v>
      </c>
      <c r="D17" s="118">
        <v>1.66</v>
      </c>
      <c r="E17" s="12" t="s">
        <v>300</v>
      </c>
      <c r="F17" s="130"/>
      <c r="G17" s="130"/>
      <c r="H17" s="130"/>
      <c r="I17" s="24" t="s">
        <v>78</v>
      </c>
      <c r="J17" s="24" t="s">
        <v>79</v>
      </c>
      <c r="K17" s="24" t="s">
        <v>291</v>
      </c>
      <c r="L17" s="24" t="s">
        <v>80</v>
      </c>
      <c r="M17" s="24" t="s">
        <v>277</v>
      </c>
    </row>
    <row r="18" spans="1:13" ht="21">
      <c r="A18" s="4"/>
      <c r="B18" s="269"/>
      <c r="C18" s="6"/>
      <c r="D18" s="6"/>
      <c r="E18" s="6" t="s">
        <v>301</v>
      </c>
      <c r="F18" s="8" t="s">
        <v>543</v>
      </c>
      <c r="G18" s="8" t="s">
        <v>530</v>
      </c>
      <c r="H18" s="49" t="s">
        <v>290</v>
      </c>
      <c r="I18" s="134"/>
      <c r="J18" s="155"/>
      <c r="K18" s="155"/>
      <c r="L18" s="155"/>
      <c r="M18" s="155"/>
    </row>
    <row r="19" spans="1:13" ht="21">
      <c r="A19" s="9" t="s">
        <v>87</v>
      </c>
      <c r="B19" s="268" t="s">
        <v>464</v>
      </c>
      <c r="C19" s="118" t="s">
        <v>315</v>
      </c>
      <c r="D19" s="118"/>
      <c r="E19" s="12" t="s">
        <v>300</v>
      </c>
      <c r="F19" s="130"/>
      <c r="G19" s="130"/>
      <c r="H19" s="130"/>
      <c r="I19" s="130"/>
      <c r="J19" s="130"/>
      <c r="K19" s="130"/>
      <c r="L19" s="130"/>
      <c r="M19" s="130"/>
    </row>
    <row r="20" spans="1:13" ht="21">
      <c r="A20" s="4"/>
      <c r="B20" s="269"/>
      <c r="C20" s="6"/>
      <c r="D20" s="6"/>
      <c r="E20" s="6" t="s">
        <v>301</v>
      </c>
      <c r="F20" s="134"/>
      <c r="G20" s="134"/>
      <c r="H20" s="134"/>
      <c r="I20" s="134"/>
      <c r="J20" s="134"/>
      <c r="K20" s="134"/>
      <c r="L20" s="134"/>
      <c r="M20" s="134"/>
    </row>
    <row r="21" spans="1:13" ht="21">
      <c r="A21" s="9" t="s">
        <v>96</v>
      </c>
      <c r="B21" s="268" t="s">
        <v>465</v>
      </c>
      <c r="C21" s="118" t="s">
        <v>303</v>
      </c>
      <c r="D21" s="118">
        <v>1.67</v>
      </c>
      <c r="E21" s="12" t="s">
        <v>300</v>
      </c>
      <c r="F21" s="13"/>
      <c r="G21" s="13"/>
      <c r="H21" s="13"/>
      <c r="I21" s="14">
        <v>100</v>
      </c>
      <c r="J21" s="14">
        <v>100</v>
      </c>
      <c r="K21" s="14">
        <v>100</v>
      </c>
      <c r="L21" s="14">
        <v>100</v>
      </c>
      <c r="M21" s="15" t="s">
        <v>98</v>
      </c>
    </row>
    <row r="22" spans="1:13" ht="21">
      <c r="A22" s="4"/>
      <c r="B22" s="269"/>
      <c r="C22" s="6"/>
      <c r="D22" s="6"/>
      <c r="E22" s="6" t="s">
        <v>301</v>
      </c>
      <c r="F22" s="8">
        <v>100</v>
      </c>
      <c r="G22" s="8">
        <v>100</v>
      </c>
      <c r="H22" s="8">
        <v>100</v>
      </c>
      <c r="I22" s="8"/>
      <c r="J22" s="8"/>
      <c r="K22" s="8"/>
      <c r="L22" s="8"/>
      <c r="M22" s="8"/>
    </row>
    <row r="23" spans="1:13" ht="21">
      <c r="A23" s="9" t="s">
        <v>99</v>
      </c>
      <c r="B23" s="268" t="s">
        <v>466</v>
      </c>
      <c r="C23" s="118" t="s">
        <v>299</v>
      </c>
      <c r="D23" s="118">
        <v>1.67</v>
      </c>
      <c r="E23" s="12" t="s">
        <v>300</v>
      </c>
      <c r="F23" s="13"/>
      <c r="G23" s="13"/>
      <c r="H23" s="13"/>
      <c r="I23" s="14">
        <v>4</v>
      </c>
      <c r="J23" s="14">
        <v>4</v>
      </c>
      <c r="K23" s="14">
        <v>4</v>
      </c>
      <c r="L23" s="14">
        <v>4</v>
      </c>
      <c r="M23" s="15" t="s">
        <v>39</v>
      </c>
    </row>
    <row r="24" spans="1:13" ht="21">
      <c r="A24" s="4"/>
      <c r="B24" s="269"/>
      <c r="C24" s="6"/>
      <c r="D24" s="6"/>
      <c r="E24" s="6" t="s">
        <v>301</v>
      </c>
      <c r="F24" s="30">
        <v>4.5</v>
      </c>
      <c r="G24" s="8"/>
      <c r="H24" s="8">
        <v>4.46</v>
      </c>
      <c r="I24" s="8"/>
      <c r="J24" s="8"/>
      <c r="K24" s="8"/>
      <c r="L24" s="8"/>
      <c r="M24" s="8"/>
    </row>
    <row r="25" spans="1:13" ht="21">
      <c r="A25" s="9" t="s">
        <v>105</v>
      </c>
      <c r="B25" s="268" t="s">
        <v>467</v>
      </c>
      <c r="C25" s="118" t="s">
        <v>325</v>
      </c>
      <c r="D25" s="118"/>
      <c r="E25" s="12" t="s">
        <v>300</v>
      </c>
      <c r="F25" s="13"/>
      <c r="G25" s="13"/>
      <c r="H25" s="13"/>
      <c r="I25" s="13"/>
      <c r="J25" s="13"/>
      <c r="K25" s="13"/>
      <c r="L25" s="13"/>
      <c r="M25" s="136"/>
    </row>
    <row r="26" spans="1:13" ht="21">
      <c r="A26" s="4"/>
      <c r="B26" s="269"/>
      <c r="C26" s="6"/>
      <c r="D26" s="6"/>
      <c r="E26" s="6" t="s">
        <v>301</v>
      </c>
      <c r="F26" s="8"/>
      <c r="G26" s="8">
        <v>15</v>
      </c>
      <c r="H26" s="8">
        <v>1</v>
      </c>
      <c r="I26" s="8"/>
      <c r="J26" s="8"/>
      <c r="K26" s="8"/>
      <c r="L26" s="8"/>
      <c r="M26" s="8"/>
    </row>
    <row r="27" spans="1:13" ht="21">
      <c r="A27" s="9" t="s">
        <v>109</v>
      </c>
      <c r="B27" s="268" t="s">
        <v>468</v>
      </c>
      <c r="C27" s="118" t="s">
        <v>303</v>
      </c>
      <c r="D27" s="118">
        <v>1.67</v>
      </c>
      <c r="E27" s="12" t="s">
        <v>300</v>
      </c>
      <c r="F27" s="13"/>
      <c r="G27" s="13"/>
      <c r="H27" s="13"/>
      <c r="I27" s="14">
        <v>50</v>
      </c>
      <c r="J27" s="14">
        <v>52</v>
      </c>
      <c r="K27" s="14">
        <v>52</v>
      </c>
      <c r="L27" s="14">
        <v>52</v>
      </c>
      <c r="M27" s="15" t="s">
        <v>114</v>
      </c>
    </row>
    <row r="28" spans="1:13" ht="21">
      <c r="A28" s="4"/>
      <c r="B28" s="269"/>
      <c r="C28" s="6"/>
      <c r="D28" s="6"/>
      <c r="E28" s="6" t="s">
        <v>301</v>
      </c>
      <c r="F28" s="30">
        <v>52.94117647058824</v>
      </c>
      <c r="G28" s="30">
        <v>47.05882352941176</v>
      </c>
      <c r="H28" s="30">
        <v>31.11</v>
      </c>
      <c r="I28" s="8"/>
      <c r="J28" s="8"/>
      <c r="K28" s="8"/>
      <c r="L28" s="8"/>
      <c r="M28" s="8"/>
    </row>
    <row r="29" spans="1:13" ht="21">
      <c r="A29" s="122" t="s">
        <v>328</v>
      </c>
      <c r="B29" s="123"/>
      <c r="C29" s="124"/>
      <c r="D29" s="124">
        <v>13.32</v>
      </c>
      <c r="E29" s="124"/>
      <c r="F29" s="124"/>
      <c r="G29" s="124"/>
      <c r="H29" s="124"/>
      <c r="I29" s="124"/>
      <c r="J29" s="124"/>
      <c r="K29" s="124"/>
      <c r="L29" s="124"/>
      <c r="M29" s="124"/>
    </row>
    <row r="30" spans="1:13" ht="21">
      <c r="A30" s="9" t="s">
        <v>115</v>
      </c>
      <c r="B30" s="270" t="s">
        <v>469</v>
      </c>
      <c r="C30" s="118" t="s">
        <v>303</v>
      </c>
      <c r="D30" s="118">
        <v>3.33</v>
      </c>
      <c r="E30" s="6" t="s">
        <v>300</v>
      </c>
      <c r="F30" s="140"/>
      <c r="G30" s="140"/>
      <c r="H30" s="140"/>
      <c r="I30" s="8">
        <v>90</v>
      </c>
      <c r="J30" s="8">
        <v>90</v>
      </c>
      <c r="K30" s="8">
        <v>90</v>
      </c>
      <c r="L30" s="8">
        <v>90</v>
      </c>
      <c r="M30" s="8">
        <v>90</v>
      </c>
    </row>
    <row r="31" spans="1:13" ht="21">
      <c r="A31" s="4"/>
      <c r="B31" s="269"/>
      <c r="C31" s="6"/>
      <c r="D31" s="6"/>
      <c r="E31" s="6" t="s">
        <v>301</v>
      </c>
      <c r="F31" s="8"/>
      <c r="G31" s="8"/>
      <c r="H31" s="30">
        <v>90.9</v>
      </c>
      <c r="I31" s="134"/>
      <c r="J31" s="134"/>
      <c r="K31" s="134"/>
      <c r="L31" s="134"/>
      <c r="M31" s="134"/>
    </row>
    <row r="32" spans="1:13" ht="21">
      <c r="A32" s="9" t="s">
        <v>117</v>
      </c>
      <c r="B32" s="268" t="s">
        <v>470</v>
      </c>
      <c r="C32" s="118" t="s">
        <v>303</v>
      </c>
      <c r="D32" s="118">
        <v>3.33</v>
      </c>
      <c r="E32" s="12" t="s">
        <v>300</v>
      </c>
      <c r="F32" s="13"/>
      <c r="G32" s="13"/>
      <c r="H32" s="13"/>
      <c r="I32" s="14">
        <v>100</v>
      </c>
      <c r="J32" s="14">
        <v>100</v>
      </c>
      <c r="K32" s="14">
        <v>100</v>
      </c>
      <c r="L32" s="14">
        <v>100</v>
      </c>
      <c r="M32" s="15" t="s">
        <v>98</v>
      </c>
    </row>
    <row r="33" spans="1:13" ht="21">
      <c r="A33" s="4"/>
      <c r="B33" s="269"/>
      <c r="C33" s="6"/>
      <c r="D33" s="6"/>
      <c r="E33" s="6" t="s">
        <v>301</v>
      </c>
      <c r="F33" s="30">
        <v>66.66666666666666</v>
      </c>
      <c r="G33" s="30">
        <v>120</v>
      </c>
      <c r="H33" s="30">
        <v>800</v>
      </c>
      <c r="I33" s="8"/>
      <c r="J33" s="8"/>
      <c r="K33" s="8"/>
      <c r="L33" s="8"/>
      <c r="M33" s="8"/>
    </row>
    <row r="34" spans="1:13" ht="21">
      <c r="A34" s="9" t="s">
        <v>123</v>
      </c>
      <c r="B34" s="268" t="s">
        <v>471</v>
      </c>
      <c r="C34" s="118" t="s">
        <v>303</v>
      </c>
      <c r="D34" s="118"/>
      <c r="E34" s="12" t="s">
        <v>300</v>
      </c>
      <c r="F34" s="13"/>
      <c r="G34" s="13"/>
      <c r="H34" s="13"/>
      <c r="I34" s="13"/>
      <c r="J34" s="13"/>
      <c r="K34" s="13"/>
      <c r="L34" s="13"/>
      <c r="M34" s="136"/>
    </row>
    <row r="35" spans="1:13" ht="21">
      <c r="A35" s="4"/>
      <c r="B35" s="269"/>
      <c r="C35" s="6"/>
      <c r="D35" s="6"/>
      <c r="E35" s="6" t="s">
        <v>301</v>
      </c>
      <c r="F35" s="8"/>
      <c r="G35" s="8"/>
      <c r="H35" s="8"/>
      <c r="I35" s="8"/>
      <c r="J35" s="8"/>
      <c r="K35" s="8"/>
      <c r="L35" s="8"/>
      <c r="M35" s="8"/>
    </row>
    <row r="36" spans="1:13" ht="21">
      <c r="A36" s="9" t="s">
        <v>125</v>
      </c>
      <c r="B36" s="268" t="s">
        <v>472</v>
      </c>
      <c r="C36" s="118" t="s">
        <v>303</v>
      </c>
      <c r="D36" s="118">
        <v>3.33</v>
      </c>
      <c r="E36" s="12" t="s">
        <v>300</v>
      </c>
      <c r="F36" s="13"/>
      <c r="G36" s="13"/>
      <c r="H36" s="13"/>
      <c r="I36" s="14">
        <v>10</v>
      </c>
      <c r="J36" s="14">
        <v>12</v>
      </c>
      <c r="K36" s="14">
        <v>14</v>
      </c>
      <c r="L36" s="14">
        <v>16</v>
      </c>
      <c r="M36" s="15" t="s">
        <v>129</v>
      </c>
    </row>
    <row r="37" spans="1:13" ht="21">
      <c r="A37" s="4"/>
      <c r="B37" s="269"/>
      <c r="C37" s="6"/>
      <c r="D37" s="6"/>
      <c r="E37" s="6" t="s">
        <v>301</v>
      </c>
      <c r="F37" s="8"/>
      <c r="G37" s="8"/>
      <c r="H37" s="30">
        <v>11.904761904761903</v>
      </c>
      <c r="I37" s="8"/>
      <c r="J37" s="8"/>
      <c r="K37" s="8"/>
      <c r="L37" s="8"/>
      <c r="M37" s="8"/>
    </row>
    <row r="38" spans="1:13" ht="21">
      <c r="A38" s="9" t="s">
        <v>130</v>
      </c>
      <c r="B38" s="268" t="s">
        <v>473</v>
      </c>
      <c r="C38" s="118" t="s">
        <v>303</v>
      </c>
      <c r="D38" s="118">
        <v>3.33</v>
      </c>
      <c r="E38" s="12" t="s">
        <v>300</v>
      </c>
      <c r="F38" s="13"/>
      <c r="G38" s="13"/>
      <c r="H38" s="13"/>
      <c r="I38" s="14">
        <v>100</v>
      </c>
      <c r="J38" s="14">
        <v>100</v>
      </c>
      <c r="K38" s="14">
        <v>100</v>
      </c>
      <c r="L38" s="14">
        <v>100</v>
      </c>
      <c r="M38" s="15" t="s">
        <v>98</v>
      </c>
    </row>
    <row r="39" spans="1:13" ht="21">
      <c r="A39" s="4"/>
      <c r="B39" s="269"/>
      <c r="C39" s="6"/>
      <c r="D39" s="6"/>
      <c r="E39" s="6" t="s">
        <v>301</v>
      </c>
      <c r="F39" s="8"/>
      <c r="G39" s="8"/>
      <c r="H39" s="8">
        <v>100</v>
      </c>
      <c r="I39" s="8"/>
      <c r="J39" s="8"/>
      <c r="K39" s="8"/>
      <c r="L39" s="8"/>
      <c r="M39" s="8"/>
    </row>
    <row r="40" spans="1:13" ht="21">
      <c r="A40" s="119" t="s">
        <v>335</v>
      </c>
      <c r="B40" s="268" t="s">
        <v>474</v>
      </c>
      <c r="C40" s="120" t="s">
        <v>303</v>
      </c>
      <c r="D40" s="120"/>
      <c r="E40" s="12" t="s">
        <v>300</v>
      </c>
      <c r="F40" s="13"/>
      <c r="G40" s="13"/>
      <c r="H40" s="13"/>
      <c r="I40" s="14">
        <v>1</v>
      </c>
      <c r="J40" s="14">
        <v>2</v>
      </c>
      <c r="K40" s="14">
        <v>2</v>
      </c>
      <c r="L40" s="156">
        <v>4</v>
      </c>
      <c r="M40" s="157" t="s">
        <v>39</v>
      </c>
    </row>
    <row r="41" spans="1:13" ht="21">
      <c r="A41" s="18"/>
      <c r="B41" s="278"/>
      <c r="C41" s="20"/>
      <c r="D41" s="20"/>
      <c r="E41" s="20" t="s">
        <v>301</v>
      </c>
      <c r="F41" s="22"/>
      <c r="G41" s="22"/>
      <c r="H41" s="22"/>
      <c r="I41" s="22"/>
      <c r="J41" s="22"/>
      <c r="K41" s="22"/>
      <c r="L41" s="22"/>
      <c r="M41" s="22"/>
    </row>
    <row r="42" spans="1:13" ht="21">
      <c r="A42" s="115" t="s">
        <v>132</v>
      </c>
      <c r="B42" s="116"/>
      <c r="C42" s="117"/>
      <c r="D42" s="117">
        <v>10</v>
      </c>
      <c r="E42" s="117"/>
      <c r="F42" s="117"/>
      <c r="G42" s="117"/>
      <c r="H42" s="117"/>
      <c r="I42" s="117"/>
      <c r="J42" s="117"/>
      <c r="K42" s="117"/>
      <c r="L42" s="117"/>
      <c r="M42" s="117"/>
    </row>
    <row r="43" spans="1:13" ht="21">
      <c r="A43" s="9" t="s">
        <v>138</v>
      </c>
      <c r="B43" s="270" t="s">
        <v>475</v>
      </c>
      <c r="C43" s="118" t="s">
        <v>303</v>
      </c>
      <c r="D43" s="118">
        <v>5</v>
      </c>
      <c r="E43" s="6" t="s">
        <v>300</v>
      </c>
      <c r="F43" s="7"/>
      <c r="G43" s="7"/>
      <c r="H43" s="7"/>
      <c r="I43" s="8">
        <v>60</v>
      </c>
      <c r="J43" s="8">
        <v>65</v>
      </c>
      <c r="K43" s="8">
        <v>70</v>
      </c>
      <c r="L43" s="8">
        <v>70</v>
      </c>
      <c r="M43" s="24" t="s">
        <v>140</v>
      </c>
    </row>
    <row r="44" spans="1:13" ht="21">
      <c r="A44" s="4"/>
      <c r="B44" s="269"/>
      <c r="C44" s="6"/>
      <c r="D44" s="6"/>
      <c r="E44" s="6" t="s">
        <v>301</v>
      </c>
      <c r="F44" s="8">
        <v>100</v>
      </c>
      <c r="G44" s="8">
        <v>100</v>
      </c>
      <c r="H44" s="8">
        <v>100</v>
      </c>
      <c r="I44" s="8"/>
      <c r="J44" s="8"/>
      <c r="K44" s="8"/>
      <c r="L44" s="8"/>
      <c r="M44" s="8"/>
    </row>
    <row r="45" spans="1:13" ht="21">
      <c r="A45" s="119" t="s">
        <v>141</v>
      </c>
      <c r="B45" s="268" t="s">
        <v>476</v>
      </c>
      <c r="C45" s="120" t="s">
        <v>303</v>
      </c>
      <c r="D45" s="120">
        <v>5</v>
      </c>
      <c r="E45" s="12" t="s">
        <v>300</v>
      </c>
      <c r="F45" s="130"/>
      <c r="G45" s="130"/>
      <c r="H45" s="130"/>
      <c r="I45" s="14">
        <v>95</v>
      </c>
      <c r="J45" s="14">
        <v>95</v>
      </c>
      <c r="K45" s="14">
        <v>95</v>
      </c>
      <c r="L45" s="14">
        <v>95</v>
      </c>
      <c r="M45" s="14">
        <v>95</v>
      </c>
    </row>
    <row r="46" spans="1:13" ht="21">
      <c r="A46" s="18"/>
      <c r="B46" s="278"/>
      <c r="C46" s="20"/>
      <c r="D46" s="20"/>
      <c r="E46" s="20" t="s">
        <v>301</v>
      </c>
      <c r="F46" s="22"/>
      <c r="G46" s="22"/>
      <c r="H46" s="51">
        <v>99.52380952380952</v>
      </c>
      <c r="I46" s="131"/>
      <c r="J46" s="131"/>
      <c r="K46" s="131"/>
      <c r="L46" s="131"/>
      <c r="M46" s="131"/>
    </row>
    <row r="47" spans="1:13" ht="21">
      <c r="A47" s="115" t="s">
        <v>143</v>
      </c>
      <c r="B47" s="116"/>
      <c r="C47" s="117"/>
      <c r="D47" s="117">
        <v>10</v>
      </c>
      <c r="E47" s="117"/>
      <c r="F47" s="117"/>
      <c r="G47" s="117"/>
      <c r="H47" s="117"/>
      <c r="I47" s="117"/>
      <c r="J47" s="117"/>
      <c r="K47" s="117"/>
      <c r="L47" s="117"/>
      <c r="M47" s="117"/>
    </row>
    <row r="48" spans="1:13" ht="21">
      <c r="A48" s="9" t="s">
        <v>149</v>
      </c>
      <c r="B48" s="270" t="s">
        <v>477</v>
      </c>
      <c r="C48" s="118" t="s">
        <v>348</v>
      </c>
      <c r="D48" s="118">
        <v>3</v>
      </c>
      <c r="E48" s="6" t="s">
        <v>300</v>
      </c>
      <c r="F48" s="7"/>
      <c r="G48" s="7"/>
      <c r="H48" s="7"/>
      <c r="I48" s="31">
        <v>220000</v>
      </c>
      <c r="J48" s="31">
        <v>220000</v>
      </c>
      <c r="K48" s="31">
        <v>220000</v>
      </c>
      <c r="L48" s="31">
        <v>220000</v>
      </c>
      <c r="M48" s="31">
        <v>220000</v>
      </c>
    </row>
    <row r="49" spans="1:13" ht="21">
      <c r="A49" s="4"/>
      <c r="B49" s="269"/>
      <c r="C49" s="6"/>
      <c r="D49" s="6"/>
      <c r="E49" s="6" t="s">
        <v>301</v>
      </c>
      <c r="F49" s="8"/>
      <c r="G49" s="8"/>
      <c r="H49" s="31">
        <v>623335.16370303</v>
      </c>
      <c r="I49" s="31"/>
      <c r="J49" s="8"/>
      <c r="K49" s="8"/>
      <c r="L49" s="8"/>
      <c r="M49" s="8"/>
    </row>
    <row r="50" spans="1:13" ht="21">
      <c r="A50" s="9" t="s">
        <v>151</v>
      </c>
      <c r="B50" s="268" t="s">
        <v>478</v>
      </c>
      <c r="C50" s="118" t="s">
        <v>303</v>
      </c>
      <c r="D50" s="118">
        <v>3</v>
      </c>
      <c r="E50" s="12" t="s">
        <v>300</v>
      </c>
      <c r="F50" s="13"/>
      <c r="G50" s="13"/>
      <c r="H50" s="13"/>
      <c r="I50" s="14">
        <v>130</v>
      </c>
      <c r="J50" s="14">
        <v>130</v>
      </c>
      <c r="K50" s="14">
        <v>130</v>
      </c>
      <c r="L50" s="14">
        <v>150</v>
      </c>
      <c r="M50" s="15" t="s">
        <v>153</v>
      </c>
    </row>
    <row r="51" spans="1:13" ht="42" customHeight="1">
      <c r="A51" s="4"/>
      <c r="B51" s="269"/>
      <c r="C51" s="6"/>
      <c r="D51" s="6"/>
      <c r="E51" s="6" t="s">
        <v>301</v>
      </c>
      <c r="F51" s="49">
        <v>200.8</v>
      </c>
      <c r="G51" s="30">
        <v>314.2857142857143</v>
      </c>
      <c r="H51" s="49">
        <v>407.18181818181813</v>
      </c>
      <c r="I51" s="30"/>
      <c r="J51" s="8"/>
      <c r="K51" s="8"/>
      <c r="L51" s="8"/>
      <c r="M51" s="8"/>
    </row>
    <row r="52" spans="1:13" ht="21">
      <c r="A52" s="9" t="s">
        <v>154</v>
      </c>
      <c r="B52" s="268" t="s">
        <v>479</v>
      </c>
      <c r="C52" s="118" t="s">
        <v>348</v>
      </c>
      <c r="D52" s="118">
        <v>3</v>
      </c>
      <c r="E52" s="12" t="s">
        <v>300</v>
      </c>
      <c r="F52" s="43"/>
      <c r="G52" s="43"/>
      <c r="H52" s="43"/>
      <c r="I52" s="40">
        <v>70000</v>
      </c>
      <c r="J52" s="40">
        <v>70000</v>
      </c>
      <c r="K52" s="40">
        <v>70000</v>
      </c>
      <c r="L52" s="40">
        <v>70000</v>
      </c>
      <c r="M52" s="40">
        <v>70000</v>
      </c>
    </row>
    <row r="53" spans="1:13" ht="21">
      <c r="A53" s="4"/>
      <c r="B53" s="269"/>
      <c r="C53" s="6"/>
      <c r="D53" s="6"/>
      <c r="E53" s="6" t="s">
        <v>301</v>
      </c>
      <c r="F53" s="31"/>
      <c r="G53" s="31">
        <v>76094.16</v>
      </c>
      <c r="H53" s="31">
        <v>87560.92158181818</v>
      </c>
      <c r="I53" s="49"/>
      <c r="J53" s="31"/>
      <c r="K53" s="31"/>
      <c r="L53" s="31"/>
      <c r="M53" s="31"/>
    </row>
    <row r="54" spans="1:13" ht="21">
      <c r="A54" s="9" t="s">
        <v>156</v>
      </c>
      <c r="B54" s="268" t="s">
        <v>480</v>
      </c>
      <c r="C54" s="118" t="s">
        <v>348</v>
      </c>
      <c r="D54" s="118">
        <v>3</v>
      </c>
      <c r="E54" s="12" t="s">
        <v>300</v>
      </c>
      <c r="F54" s="43"/>
      <c r="G54" s="43"/>
      <c r="H54" s="43"/>
      <c r="I54" s="40">
        <v>150000</v>
      </c>
      <c r="J54" s="40">
        <v>150000</v>
      </c>
      <c r="K54" s="40">
        <v>150000</v>
      </c>
      <c r="L54" s="40">
        <v>150000</v>
      </c>
      <c r="M54" s="40">
        <v>150000</v>
      </c>
    </row>
    <row r="55" spans="1:13" ht="21">
      <c r="A55" s="4"/>
      <c r="B55" s="269"/>
      <c r="C55" s="6"/>
      <c r="D55" s="6"/>
      <c r="E55" s="6" t="s">
        <v>301</v>
      </c>
      <c r="F55" s="31"/>
      <c r="G55" s="31">
        <v>279467.9</v>
      </c>
      <c r="H55" s="31">
        <v>535774.2421212118</v>
      </c>
      <c r="I55" s="31"/>
      <c r="J55" s="31"/>
      <c r="K55" s="31"/>
      <c r="L55" s="31"/>
      <c r="M55" s="31"/>
    </row>
    <row r="56" spans="1:13" ht="21">
      <c r="A56" s="9" t="s">
        <v>158</v>
      </c>
      <c r="B56" s="268" t="s">
        <v>481</v>
      </c>
      <c r="C56" s="118" t="s">
        <v>303</v>
      </c>
      <c r="D56" s="118">
        <v>3</v>
      </c>
      <c r="E56" s="12" t="s">
        <v>300</v>
      </c>
      <c r="F56" s="13"/>
      <c r="G56" s="13"/>
      <c r="H56" s="13"/>
      <c r="I56" s="14">
        <v>40</v>
      </c>
      <c r="J56" s="14">
        <v>40</v>
      </c>
      <c r="K56" s="14">
        <v>40</v>
      </c>
      <c r="L56" s="14">
        <v>40</v>
      </c>
      <c r="M56" s="15" t="s">
        <v>111</v>
      </c>
    </row>
    <row r="57" spans="1:13" ht="21">
      <c r="A57" s="4"/>
      <c r="B57" s="269"/>
      <c r="C57" s="6"/>
      <c r="D57" s="6"/>
      <c r="E57" s="6" t="s">
        <v>301</v>
      </c>
      <c r="F57" s="170">
        <v>30</v>
      </c>
      <c r="G57" s="104">
        <v>28.57</v>
      </c>
      <c r="H57" s="133">
        <v>100</v>
      </c>
      <c r="I57" s="127"/>
      <c r="J57" s="8"/>
      <c r="K57" s="8"/>
      <c r="L57" s="8"/>
      <c r="M57" s="8"/>
    </row>
    <row r="58" spans="1:13" ht="21">
      <c r="A58" s="9" t="s">
        <v>161</v>
      </c>
      <c r="B58" s="268" t="s">
        <v>482</v>
      </c>
      <c r="C58" s="118" t="s">
        <v>303</v>
      </c>
      <c r="D58" s="118">
        <v>3</v>
      </c>
      <c r="E58" s="12" t="s">
        <v>300</v>
      </c>
      <c r="F58" s="13"/>
      <c r="G58" s="13"/>
      <c r="H58" s="13"/>
      <c r="I58" s="14">
        <v>60</v>
      </c>
      <c r="J58" s="14">
        <v>60</v>
      </c>
      <c r="K58" s="14">
        <v>60</v>
      </c>
      <c r="L58" s="14">
        <v>60</v>
      </c>
      <c r="M58" s="15" t="s">
        <v>164</v>
      </c>
    </row>
    <row r="59" spans="1:13" ht="21">
      <c r="A59" s="4"/>
      <c r="B59" s="269"/>
      <c r="C59" s="6"/>
      <c r="D59" s="6"/>
      <c r="E59" s="6" t="s">
        <v>301</v>
      </c>
      <c r="F59" s="30">
        <v>40</v>
      </c>
      <c r="G59" s="8">
        <v>104.76</v>
      </c>
      <c r="H59" s="49">
        <v>45.45</v>
      </c>
      <c r="I59" s="127"/>
      <c r="J59" s="8"/>
      <c r="K59" s="8"/>
      <c r="L59" s="8"/>
      <c r="M59" s="8"/>
    </row>
    <row r="60" spans="1:13" ht="21">
      <c r="A60" s="9" t="s">
        <v>165</v>
      </c>
      <c r="B60" s="268" t="s">
        <v>483</v>
      </c>
      <c r="C60" s="118" t="s">
        <v>303</v>
      </c>
      <c r="D60" s="118">
        <v>3</v>
      </c>
      <c r="E60" s="12" t="s">
        <v>300</v>
      </c>
      <c r="F60" s="13"/>
      <c r="G60" s="13"/>
      <c r="H60" s="13"/>
      <c r="I60" s="14">
        <v>30</v>
      </c>
      <c r="J60" s="14">
        <v>30</v>
      </c>
      <c r="K60" s="14">
        <v>30</v>
      </c>
      <c r="L60" s="14">
        <v>30</v>
      </c>
      <c r="M60" s="15" t="s">
        <v>163</v>
      </c>
    </row>
    <row r="61" spans="1:13" ht="21">
      <c r="A61" s="4"/>
      <c r="B61" s="269"/>
      <c r="C61" s="6"/>
      <c r="D61" s="6"/>
      <c r="E61" s="6" t="s">
        <v>301</v>
      </c>
      <c r="F61" s="30">
        <v>21.5</v>
      </c>
      <c r="G61" s="49">
        <v>21.9047619047619</v>
      </c>
      <c r="H61" s="30">
        <v>30</v>
      </c>
      <c r="I61" s="30"/>
      <c r="J61" s="8"/>
      <c r="K61" s="8"/>
      <c r="L61" s="8"/>
      <c r="M61" s="8"/>
    </row>
    <row r="62" spans="1:13" ht="21">
      <c r="A62" s="9" t="s">
        <v>169</v>
      </c>
      <c r="B62" s="268" t="s">
        <v>355</v>
      </c>
      <c r="C62" s="118" t="s">
        <v>303</v>
      </c>
      <c r="D62" s="118">
        <v>3</v>
      </c>
      <c r="E62" s="12" t="s">
        <v>300</v>
      </c>
      <c r="F62" s="13"/>
      <c r="G62" s="13"/>
      <c r="H62" s="13"/>
      <c r="I62" s="14">
        <v>70</v>
      </c>
      <c r="J62" s="14">
        <v>73</v>
      </c>
      <c r="K62" s="14">
        <v>75</v>
      </c>
      <c r="L62" s="14">
        <v>75</v>
      </c>
      <c r="M62" s="15" t="s">
        <v>171</v>
      </c>
    </row>
    <row r="63" spans="1:13" ht="21">
      <c r="A63" s="4"/>
      <c r="B63" s="269"/>
      <c r="C63" s="6"/>
      <c r="D63" s="6"/>
      <c r="E63" s="6" t="s">
        <v>301</v>
      </c>
      <c r="F63" s="8"/>
      <c r="G63" s="127"/>
      <c r="H63" s="127"/>
      <c r="I63" s="127"/>
      <c r="J63" s="8"/>
      <c r="K63" s="8"/>
      <c r="L63" s="8"/>
      <c r="M63" s="8"/>
    </row>
    <row r="64" spans="1:13" ht="21">
      <c r="A64" s="122" t="s">
        <v>359</v>
      </c>
      <c r="B64" s="123"/>
      <c r="C64" s="124"/>
      <c r="D64" s="124">
        <v>10</v>
      </c>
      <c r="E64" s="124"/>
      <c r="F64" s="124"/>
      <c r="G64" s="124"/>
      <c r="H64" s="124"/>
      <c r="I64" s="124"/>
      <c r="J64" s="124"/>
      <c r="K64" s="124"/>
      <c r="L64" s="124"/>
      <c r="M64" s="124"/>
    </row>
    <row r="65" spans="1:13" ht="21">
      <c r="A65" s="9" t="s">
        <v>172</v>
      </c>
      <c r="B65" s="283" t="s">
        <v>484</v>
      </c>
      <c r="C65" s="118" t="s">
        <v>303</v>
      </c>
      <c r="D65" s="118">
        <v>10</v>
      </c>
      <c r="E65" s="6" t="s">
        <v>300</v>
      </c>
      <c r="F65" s="7"/>
      <c r="G65" s="7"/>
      <c r="H65" s="7"/>
      <c r="I65" s="8">
        <v>10</v>
      </c>
      <c r="J65" s="8">
        <v>10</v>
      </c>
      <c r="K65" s="8">
        <v>10</v>
      </c>
      <c r="L65" s="8">
        <v>12</v>
      </c>
      <c r="M65" s="24" t="s">
        <v>176</v>
      </c>
    </row>
    <row r="66" spans="1:13" ht="21">
      <c r="A66" s="18"/>
      <c r="B66" s="278"/>
      <c r="C66" s="20"/>
      <c r="D66" s="20"/>
      <c r="E66" s="20" t="s">
        <v>301</v>
      </c>
      <c r="F66" s="51">
        <v>23.076923076923077</v>
      </c>
      <c r="G66" s="51">
        <v>7.4074074074074066</v>
      </c>
      <c r="H66" s="135">
        <v>21.428571428571427</v>
      </c>
      <c r="I66" s="51"/>
      <c r="J66" s="22"/>
      <c r="K66" s="22"/>
      <c r="L66" s="22"/>
      <c r="M66" s="22"/>
    </row>
    <row r="67" spans="1:13" ht="21">
      <c r="A67" s="115" t="s">
        <v>179</v>
      </c>
      <c r="B67" s="116"/>
      <c r="C67" s="117"/>
      <c r="D67" s="117">
        <v>5</v>
      </c>
      <c r="E67" s="117"/>
      <c r="F67" s="117"/>
      <c r="G67" s="117"/>
      <c r="H67" s="117"/>
      <c r="I67" s="117"/>
      <c r="J67" s="117"/>
      <c r="K67" s="117"/>
      <c r="L67" s="117"/>
      <c r="M67" s="117"/>
    </row>
    <row r="68" spans="1:13" ht="21">
      <c r="A68" s="9" t="s">
        <v>182</v>
      </c>
      <c r="B68" s="270" t="s">
        <v>485</v>
      </c>
      <c r="C68" s="118" t="s">
        <v>303</v>
      </c>
      <c r="D68" s="118">
        <v>2.5</v>
      </c>
      <c r="E68" s="6" t="s">
        <v>300</v>
      </c>
      <c r="F68" s="158"/>
      <c r="G68" s="158"/>
      <c r="H68" s="158"/>
      <c r="I68" s="8">
        <v>40</v>
      </c>
      <c r="J68" s="8">
        <v>30</v>
      </c>
      <c r="K68" s="8">
        <v>30</v>
      </c>
      <c r="L68" s="31">
        <v>30</v>
      </c>
      <c r="M68" s="24" t="s">
        <v>163</v>
      </c>
    </row>
    <row r="69" spans="1:13" ht="42" customHeight="1">
      <c r="A69" s="4"/>
      <c r="B69" s="269"/>
      <c r="C69" s="6"/>
      <c r="D69" s="6"/>
      <c r="E69" s="6" t="s">
        <v>301</v>
      </c>
      <c r="F69" s="30">
        <v>53.84615384615385</v>
      </c>
      <c r="G69" s="127">
        <v>59.25925925925925</v>
      </c>
      <c r="H69" s="8" t="s">
        <v>188</v>
      </c>
      <c r="I69" s="127"/>
      <c r="J69" s="31"/>
      <c r="K69" s="31"/>
      <c r="L69" s="31"/>
      <c r="M69" s="8"/>
    </row>
    <row r="70" spans="1:13" ht="21">
      <c r="A70" s="9" t="s">
        <v>189</v>
      </c>
      <c r="B70" s="268" t="s">
        <v>486</v>
      </c>
      <c r="C70" s="118" t="s">
        <v>303</v>
      </c>
      <c r="D70" s="118">
        <v>2.5</v>
      </c>
      <c r="E70" s="12" t="s">
        <v>300</v>
      </c>
      <c r="F70" s="43"/>
      <c r="G70" s="43"/>
      <c r="H70" s="43"/>
      <c r="I70" s="14">
        <v>100</v>
      </c>
      <c r="J70" s="14">
        <v>100</v>
      </c>
      <c r="K70" s="14">
        <v>100</v>
      </c>
      <c r="L70" s="40">
        <v>100</v>
      </c>
      <c r="M70" s="15" t="s">
        <v>98</v>
      </c>
    </row>
    <row r="71" spans="1:13" ht="21">
      <c r="A71" s="4"/>
      <c r="B71" s="269"/>
      <c r="C71" s="6"/>
      <c r="D71" s="6"/>
      <c r="E71" s="6" t="s">
        <v>301</v>
      </c>
      <c r="F71" s="170">
        <f>1/10*100</f>
        <v>10</v>
      </c>
      <c r="G71" s="175">
        <f>1/10.5*100</f>
        <v>9.523809523809524</v>
      </c>
      <c r="H71" s="49">
        <v>27.27272727272727</v>
      </c>
      <c r="I71" s="49"/>
      <c r="J71" s="31"/>
      <c r="K71" s="31"/>
      <c r="L71" s="31"/>
      <c r="M71" s="8"/>
    </row>
    <row r="72" spans="1:13" ht="21">
      <c r="A72" s="9" t="s">
        <v>191</v>
      </c>
      <c r="B72" s="268" t="s">
        <v>487</v>
      </c>
      <c r="C72" s="118" t="s">
        <v>303</v>
      </c>
      <c r="D72" s="118"/>
      <c r="E72" s="12" t="s">
        <v>300</v>
      </c>
      <c r="F72" s="130"/>
      <c r="G72" s="130"/>
      <c r="H72" s="130"/>
      <c r="I72" s="130"/>
      <c r="J72" s="130"/>
      <c r="K72" s="130"/>
      <c r="L72" s="130"/>
      <c r="M72" s="130"/>
    </row>
    <row r="73" spans="1:13" ht="21">
      <c r="A73" s="4"/>
      <c r="B73" s="269"/>
      <c r="C73" s="6"/>
      <c r="D73" s="6"/>
      <c r="E73" s="6" t="s">
        <v>301</v>
      </c>
      <c r="F73" s="134"/>
      <c r="G73" s="134"/>
      <c r="H73" s="134"/>
      <c r="I73" s="134"/>
      <c r="J73" s="134"/>
      <c r="K73" s="134"/>
      <c r="L73" s="134"/>
      <c r="M73" s="134"/>
    </row>
    <row r="74" spans="1:13" ht="21">
      <c r="A74" s="119" t="s">
        <v>199</v>
      </c>
      <c r="B74" s="268" t="s">
        <v>488</v>
      </c>
      <c r="C74" s="120" t="s">
        <v>303</v>
      </c>
      <c r="D74" s="120"/>
      <c r="E74" s="12" t="s">
        <v>300</v>
      </c>
      <c r="F74" s="13"/>
      <c r="G74" s="13"/>
      <c r="H74" s="13"/>
      <c r="I74" s="13"/>
      <c r="J74" s="13"/>
      <c r="K74" s="13"/>
      <c r="L74" s="13"/>
      <c r="M74" s="136"/>
    </row>
    <row r="75" spans="1:13" ht="21">
      <c r="A75" s="18"/>
      <c r="B75" s="278"/>
      <c r="C75" s="20"/>
      <c r="D75" s="20"/>
      <c r="E75" s="20" t="s">
        <v>301</v>
      </c>
      <c r="F75" s="22"/>
      <c r="G75" s="22"/>
      <c r="H75" s="22"/>
      <c r="I75" s="22"/>
      <c r="J75" s="22"/>
      <c r="K75" s="22"/>
      <c r="L75" s="22"/>
      <c r="M75" s="22"/>
    </row>
    <row r="76" spans="1:13" ht="21">
      <c r="A76" s="115" t="s">
        <v>209</v>
      </c>
      <c r="B76" s="116"/>
      <c r="C76" s="117"/>
      <c r="D76" s="117">
        <v>12.25</v>
      </c>
      <c r="E76" s="117"/>
      <c r="F76" s="117"/>
      <c r="G76" s="117"/>
      <c r="H76" s="117"/>
      <c r="I76" s="117"/>
      <c r="J76" s="117"/>
      <c r="K76" s="117"/>
      <c r="L76" s="117"/>
      <c r="M76" s="117"/>
    </row>
    <row r="77" spans="1:13" ht="21">
      <c r="A77" s="9" t="s">
        <v>210</v>
      </c>
      <c r="B77" s="270" t="s">
        <v>489</v>
      </c>
      <c r="C77" s="118" t="s">
        <v>315</v>
      </c>
      <c r="D77" s="118">
        <v>1.53</v>
      </c>
      <c r="E77" s="6" t="s">
        <v>300</v>
      </c>
      <c r="F77" s="140"/>
      <c r="G77" s="140"/>
      <c r="H77" s="140"/>
      <c r="I77" s="8">
        <v>3</v>
      </c>
      <c r="J77" s="8">
        <v>3</v>
      </c>
      <c r="K77" s="8">
        <v>4</v>
      </c>
      <c r="L77" s="8">
        <v>4</v>
      </c>
      <c r="M77" s="8">
        <v>4</v>
      </c>
    </row>
    <row r="78" spans="1:13" ht="21">
      <c r="A78" s="4"/>
      <c r="B78" s="269"/>
      <c r="C78" s="6"/>
      <c r="D78" s="6"/>
      <c r="E78" s="6" t="s">
        <v>301</v>
      </c>
      <c r="F78" s="8"/>
      <c r="G78" s="8"/>
      <c r="H78" s="8"/>
      <c r="I78" s="134"/>
      <c r="J78" s="134"/>
      <c r="K78" s="134"/>
      <c r="L78" s="134"/>
      <c r="M78" s="134"/>
    </row>
    <row r="79" spans="1:13" ht="21">
      <c r="A79" s="9" t="s">
        <v>212</v>
      </c>
      <c r="B79" s="268" t="s">
        <v>490</v>
      </c>
      <c r="C79" s="118" t="s">
        <v>299</v>
      </c>
      <c r="D79" s="118">
        <v>1.53</v>
      </c>
      <c r="E79" s="12" t="s">
        <v>300</v>
      </c>
      <c r="F79" s="130"/>
      <c r="G79" s="130"/>
      <c r="H79" s="130"/>
      <c r="I79" s="14">
        <v>3</v>
      </c>
      <c r="J79" s="14">
        <v>3</v>
      </c>
      <c r="K79" s="14">
        <v>4</v>
      </c>
      <c r="L79" s="14">
        <v>4</v>
      </c>
      <c r="M79" s="14">
        <v>4</v>
      </c>
    </row>
    <row r="80" spans="1:13" ht="21">
      <c r="A80" s="4"/>
      <c r="B80" s="269"/>
      <c r="C80" s="6"/>
      <c r="D80" s="6"/>
      <c r="E80" s="6" t="s">
        <v>301</v>
      </c>
      <c r="F80" s="8"/>
      <c r="G80" s="8"/>
      <c r="H80" s="8"/>
      <c r="I80" s="134"/>
      <c r="J80" s="134"/>
      <c r="K80" s="134"/>
      <c r="L80" s="134"/>
      <c r="M80" s="134"/>
    </row>
    <row r="81" spans="1:13" ht="21">
      <c r="A81" s="9" t="s">
        <v>216</v>
      </c>
      <c r="B81" s="268" t="s">
        <v>491</v>
      </c>
      <c r="C81" s="118" t="s">
        <v>299</v>
      </c>
      <c r="D81" s="118">
        <v>1.53</v>
      </c>
      <c r="E81" s="12" t="s">
        <v>300</v>
      </c>
      <c r="F81" s="130"/>
      <c r="G81" s="130"/>
      <c r="H81" s="130"/>
      <c r="I81" s="14">
        <v>4</v>
      </c>
      <c r="J81" s="14">
        <v>4</v>
      </c>
      <c r="K81" s="14">
        <v>5</v>
      </c>
      <c r="L81" s="14">
        <v>5</v>
      </c>
      <c r="M81" s="14">
        <v>5</v>
      </c>
    </row>
    <row r="82" spans="1:13" ht="21">
      <c r="A82" s="4"/>
      <c r="B82" s="269"/>
      <c r="C82" s="6"/>
      <c r="D82" s="6"/>
      <c r="E82" s="6" t="s">
        <v>301</v>
      </c>
      <c r="F82" s="8"/>
      <c r="G82" s="8"/>
      <c r="H82" s="8"/>
      <c r="I82" s="134"/>
      <c r="J82" s="134"/>
      <c r="K82" s="134"/>
      <c r="L82" s="134"/>
      <c r="M82" s="134"/>
    </row>
    <row r="83" spans="1:13" ht="21">
      <c r="A83" s="9" t="s">
        <v>225</v>
      </c>
      <c r="B83" s="268" t="s">
        <v>492</v>
      </c>
      <c r="C83" s="118" t="s">
        <v>299</v>
      </c>
      <c r="D83" s="118">
        <v>1.53</v>
      </c>
      <c r="E83" s="12" t="s">
        <v>300</v>
      </c>
      <c r="F83" s="130"/>
      <c r="G83" s="130"/>
      <c r="H83" s="130"/>
      <c r="I83" s="14">
        <v>3</v>
      </c>
      <c r="J83" s="14">
        <v>4</v>
      </c>
      <c r="K83" s="14">
        <v>5</v>
      </c>
      <c r="L83" s="14">
        <v>5</v>
      </c>
      <c r="M83" s="14">
        <v>5</v>
      </c>
    </row>
    <row r="84" spans="1:13" ht="21">
      <c r="A84" s="4"/>
      <c r="B84" s="269"/>
      <c r="C84" s="6"/>
      <c r="D84" s="6"/>
      <c r="E84" s="6" t="s">
        <v>301</v>
      </c>
      <c r="F84" s="8"/>
      <c r="G84" s="8"/>
      <c r="H84" s="8"/>
      <c r="I84" s="134"/>
      <c r="J84" s="134"/>
      <c r="K84" s="134"/>
      <c r="L84" s="134"/>
      <c r="M84" s="134"/>
    </row>
    <row r="85" spans="1:13" ht="21">
      <c r="A85" s="9" t="s">
        <v>229</v>
      </c>
      <c r="B85" s="268" t="s">
        <v>493</v>
      </c>
      <c r="C85" s="118" t="s">
        <v>303</v>
      </c>
      <c r="D85" s="118">
        <v>1.54</v>
      </c>
      <c r="E85" s="12" t="s">
        <v>300</v>
      </c>
      <c r="F85" s="43"/>
      <c r="G85" s="43"/>
      <c r="H85" s="43"/>
      <c r="I85" s="14">
        <v>80</v>
      </c>
      <c r="J85" s="14">
        <v>80</v>
      </c>
      <c r="K85" s="14">
        <v>80</v>
      </c>
      <c r="L85" s="40">
        <v>80</v>
      </c>
      <c r="M85" s="15" t="s">
        <v>120</v>
      </c>
    </row>
    <row r="86" spans="1:13" ht="21">
      <c r="A86" s="4"/>
      <c r="B86" s="269"/>
      <c r="C86" s="6"/>
      <c r="D86" s="6"/>
      <c r="E86" s="6" t="s">
        <v>301</v>
      </c>
      <c r="F86" s="30">
        <v>10</v>
      </c>
      <c r="G86" s="8">
        <v>19.05</v>
      </c>
      <c r="H86" s="30">
        <v>72.73</v>
      </c>
      <c r="I86" s="30"/>
      <c r="J86" s="31"/>
      <c r="K86" s="31"/>
      <c r="L86" s="31"/>
      <c r="M86" s="8"/>
    </row>
    <row r="87" spans="1:13" ht="21">
      <c r="A87" s="9" t="s">
        <v>231</v>
      </c>
      <c r="B87" s="268" t="s">
        <v>494</v>
      </c>
      <c r="C87" s="118" t="s">
        <v>348</v>
      </c>
      <c r="D87" s="118">
        <v>1.53</v>
      </c>
      <c r="E87" s="12" t="s">
        <v>300</v>
      </c>
      <c r="F87" s="13"/>
      <c r="G87" s="13"/>
      <c r="H87" s="13"/>
      <c r="I87" s="40">
        <v>10000</v>
      </c>
      <c r="J87" s="40">
        <v>12000</v>
      </c>
      <c r="K87" s="40">
        <v>15000</v>
      </c>
      <c r="L87" s="40">
        <v>15000</v>
      </c>
      <c r="M87" s="15" t="s">
        <v>233</v>
      </c>
    </row>
    <row r="88" spans="1:13" ht="21">
      <c r="A88" s="4"/>
      <c r="B88" s="269"/>
      <c r="C88" s="6"/>
      <c r="D88" s="6"/>
      <c r="E88" s="6" t="s">
        <v>301</v>
      </c>
      <c r="F88" s="31">
        <v>22666.007692307692</v>
      </c>
      <c r="G88" s="31">
        <v>36812.84</v>
      </c>
      <c r="H88" s="31">
        <v>47369.50285714286</v>
      </c>
      <c r="I88" s="49"/>
      <c r="J88" s="8"/>
      <c r="K88" s="8"/>
      <c r="L88" s="8"/>
      <c r="M88" s="8"/>
    </row>
    <row r="89" spans="1:13" ht="21">
      <c r="A89" s="9" t="s">
        <v>234</v>
      </c>
      <c r="B89" s="268" t="s">
        <v>495</v>
      </c>
      <c r="C89" s="118" t="s">
        <v>303</v>
      </c>
      <c r="D89" s="118">
        <v>1.53</v>
      </c>
      <c r="E89" s="12" t="s">
        <v>300</v>
      </c>
      <c r="F89" s="13"/>
      <c r="G89" s="13"/>
      <c r="H89" s="13"/>
      <c r="I89" s="14">
        <v>100</v>
      </c>
      <c r="J89" s="14">
        <v>100</v>
      </c>
      <c r="K89" s="14">
        <v>100</v>
      </c>
      <c r="L89" s="14">
        <v>100</v>
      </c>
      <c r="M89" s="15" t="s">
        <v>98</v>
      </c>
    </row>
    <row r="90" spans="1:13" ht="21">
      <c r="A90" s="4"/>
      <c r="B90" s="269"/>
      <c r="C90" s="6"/>
      <c r="D90" s="6"/>
      <c r="E90" s="6" t="s">
        <v>301</v>
      </c>
      <c r="F90" s="8">
        <v>100</v>
      </c>
      <c r="G90" s="8">
        <v>100</v>
      </c>
      <c r="H90" s="8">
        <v>100</v>
      </c>
      <c r="I90" s="8"/>
      <c r="J90" s="8"/>
      <c r="K90" s="8"/>
      <c r="L90" s="8"/>
      <c r="M90" s="8"/>
    </row>
    <row r="91" spans="1:13" ht="21">
      <c r="A91" s="9" t="s">
        <v>236</v>
      </c>
      <c r="B91" s="268" t="s">
        <v>496</v>
      </c>
      <c r="C91" s="118" t="s">
        <v>299</v>
      </c>
      <c r="D91" s="118">
        <v>1.53</v>
      </c>
      <c r="E91" s="12" t="s">
        <v>300</v>
      </c>
      <c r="F91" s="130"/>
      <c r="G91" s="130"/>
      <c r="H91" s="130"/>
      <c r="I91" s="14">
        <v>3</v>
      </c>
      <c r="J91" s="14">
        <v>3</v>
      </c>
      <c r="K91" s="14">
        <v>3</v>
      </c>
      <c r="L91" s="14">
        <v>3</v>
      </c>
      <c r="M91" s="14">
        <v>3</v>
      </c>
    </row>
    <row r="92" spans="1:13" ht="21">
      <c r="A92" s="4"/>
      <c r="B92" s="269"/>
      <c r="C92" s="6"/>
      <c r="D92" s="6"/>
      <c r="E92" s="6" t="s">
        <v>301</v>
      </c>
      <c r="F92" s="8"/>
      <c r="G92" s="8"/>
      <c r="H92" s="8"/>
      <c r="I92" s="134"/>
      <c r="J92" s="134"/>
      <c r="K92" s="134"/>
      <c r="L92" s="134"/>
      <c r="M92" s="134"/>
    </row>
    <row r="93" spans="1:13" ht="21">
      <c r="A93" s="119" t="s">
        <v>401</v>
      </c>
      <c r="B93" s="268" t="s">
        <v>500</v>
      </c>
      <c r="C93" s="120" t="s">
        <v>403</v>
      </c>
      <c r="D93" s="120"/>
      <c r="E93" s="12" t="s">
        <v>300</v>
      </c>
      <c r="F93" s="130"/>
      <c r="G93" s="130"/>
      <c r="H93" s="130"/>
      <c r="I93" s="130"/>
      <c r="J93" s="130"/>
      <c r="K93" s="130"/>
      <c r="L93" s="130"/>
      <c r="M93" s="130"/>
    </row>
    <row r="94" spans="1:13" ht="21">
      <c r="A94" s="18"/>
      <c r="B94" s="278"/>
      <c r="C94" s="20"/>
      <c r="D94" s="20"/>
      <c r="E94" s="20" t="s">
        <v>301</v>
      </c>
      <c r="F94" s="131"/>
      <c r="G94" s="131"/>
      <c r="H94" s="131"/>
      <c r="I94" s="131"/>
      <c r="J94" s="131"/>
      <c r="K94" s="131"/>
      <c r="L94" s="131"/>
      <c r="M94" s="131"/>
    </row>
    <row r="95" spans="1:13" ht="21">
      <c r="A95" s="115" t="s">
        <v>251</v>
      </c>
      <c r="B95" s="116"/>
      <c r="C95" s="117"/>
      <c r="D95" s="117">
        <v>0</v>
      </c>
      <c r="E95" s="117"/>
      <c r="F95" s="117"/>
      <c r="G95" s="117"/>
      <c r="H95" s="117"/>
      <c r="I95" s="117"/>
      <c r="J95" s="117"/>
      <c r="K95" s="117"/>
      <c r="L95" s="117"/>
      <c r="M95" s="117"/>
    </row>
    <row r="96" spans="1:13" ht="21">
      <c r="A96" s="9" t="s">
        <v>258</v>
      </c>
      <c r="B96" s="283" t="s">
        <v>501</v>
      </c>
      <c r="C96" s="118" t="s">
        <v>299</v>
      </c>
      <c r="D96" s="118"/>
      <c r="E96" s="6" t="s">
        <v>300</v>
      </c>
      <c r="F96" s="140"/>
      <c r="G96" s="140"/>
      <c r="H96" s="140"/>
      <c r="I96" s="140"/>
      <c r="J96" s="140"/>
      <c r="K96" s="140"/>
      <c r="L96" s="140"/>
      <c r="M96" s="140"/>
    </row>
    <row r="97" spans="1:13" ht="21">
      <c r="A97" s="18"/>
      <c r="B97" s="278"/>
      <c r="C97" s="20"/>
      <c r="D97" s="20"/>
      <c r="E97" s="20" t="s">
        <v>301</v>
      </c>
      <c r="F97" s="131"/>
      <c r="G97" s="131"/>
      <c r="H97" s="131"/>
      <c r="I97" s="131"/>
      <c r="J97" s="131"/>
      <c r="K97" s="131"/>
      <c r="L97" s="131"/>
      <c r="M97" s="131"/>
    </row>
    <row r="98" ht="21">
      <c r="A98" s="137" t="s">
        <v>448</v>
      </c>
    </row>
    <row r="99" spans="1:2" ht="21">
      <c r="A99" s="139" t="s">
        <v>449</v>
      </c>
      <c r="B99" t="s">
        <v>450</v>
      </c>
    </row>
    <row r="100" spans="1:2" ht="21">
      <c r="A100" s="139" t="s">
        <v>451</v>
      </c>
      <c r="B100" t="s">
        <v>452</v>
      </c>
    </row>
    <row r="101" spans="1:2" ht="21">
      <c r="A101" s="139" t="s">
        <v>453</v>
      </c>
      <c r="B101" t="s">
        <v>454</v>
      </c>
    </row>
    <row r="102" spans="1:2" ht="21">
      <c r="A102" s="139" t="s">
        <v>455</v>
      </c>
      <c r="B102" t="s">
        <v>456</v>
      </c>
    </row>
  </sheetData>
  <mergeCells count="48">
    <mergeCell ref="B91:B92"/>
    <mergeCell ref="B13:B14"/>
    <mergeCell ref="B15:B16"/>
    <mergeCell ref="B17:B18"/>
    <mergeCell ref="B19:B20"/>
    <mergeCell ref="B21:B22"/>
    <mergeCell ref="B23:B24"/>
    <mergeCell ref="B25:B26"/>
    <mergeCell ref="B30:B31"/>
    <mergeCell ref="B32:B33"/>
    <mergeCell ref="A2:B3"/>
    <mergeCell ref="I2:M2"/>
    <mergeCell ref="F2:H2"/>
    <mergeCell ref="C2:C3"/>
    <mergeCell ref="D2:D3"/>
    <mergeCell ref="E2:E3"/>
    <mergeCell ref="B34:B35"/>
    <mergeCell ref="B36:B37"/>
    <mergeCell ref="B5:B6"/>
    <mergeCell ref="B9:B10"/>
    <mergeCell ref="B27:B28"/>
    <mergeCell ref="B11:B12"/>
    <mergeCell ref="B70:B71"/>
    <mergeCell ref="B72:B73"/>
    <mergeCell ref="B43:B44"/>
    <mergeCell ref="B38:B39"/>
    <mergeCell ref="B48:B49"/>
    <mergeCell ref="B68:B69"/>
    <mergeCell ref="B56:B57"/>
    <mergeCell ref="B58:B59"/>
    <mergeCell ref="B60:B61"/>
    <mergeCell ref="B50:B51"/>
    <mergeCell ref="B74:B75"/>
    <mergeCell ref="B93:B94"/>
    <mergeCell ref="B96:B97"/>
    <mergeCell ref="B77:B78"/>
    <mergeCell ref="B89:B90"/>
    <mergeCell ref="B87:B88"/>
    <mergeCell ref="B85:B86"/>
    <mergeCell ref="B81:B82"/>
    <mergeCell ref="B83:B84"/>
    <mergeCell ref="B79:B80"/>
    <mergeCell ref="B40:B41"/>
    <mergeCell ref="B45:B46"/>
    <mergeCell ref="B62:B63"/>
    <mergeCell ref="B65:B66"/>
    <mergeCell ref="B52:B53"/>
    <mergeCell ref="B54:B55"/>
  </mergeCells>
  <printOptions/>
  <pageMargins left="0.5905511811023623" right="0.5905511811023623" top="0.7874015748031497" bottom="0.984251968503937" header="0.5118110236220472" footer="0.5118110236220472"/>
  <pageSetup fitToHeight="0" fitToWidth="1" horizontalDpi="600" verticalDpi="600" orientation="landscape" paperSize="9" scale="65" r:id="rId1"/>
  <headerFooter alignWithMargins="0">
    <oddFooter>&amp;L&amp;F&amp;R&amp;A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Sutham Sukmanee</dc:creator>
  <cp:keywords/>
  <dc:description/>
  <cp:lastModifiedBy>Psiranee</cp:lastModifiedBy>
  <cp:lastPrinted>2008-03-11T06:18:46Z</cp:lastPrinted>
  <dcterms:created xsi:type="dcterms:W3CDTF">2008-02-20T00:49:50Z</dcterms:created>
  <dcterms:modified xsi:type="dcterms:W3CDTF">2008-04-01T07:40:18Z</dcterms:modified>
  <cp:category/>
  <cp:version/>
  <cp:contentType/>
  <cp:contentStatus/>
</cp:coreProperties>
</file>