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228" windowWidth="9624" windowHeight="7308" firstSheet="29" activeTab="30"/>
  </bookViews>
  <sheets>
    <sheet name="ตยคำนวณ_FTEstaff" sheetId="5" r:id="rId1"/>
    <sheet name="AssoAssEE_ตรี" sheetId="46" r:id="rId2"/>
    <sheet name="FullLecEE_ตรี" sheetId="47" r:id="rId3"/>
    <sheet name="AssoAssEE_โทเอก" sheetId="48" r:id="rId4"/>
    <sheet name="FullLecEE_โทเอก" sheetId="49" r:id="rId5"/>
    <sheet name="AssoAss_ตรีชีวการแพทย์" sheetId="50" r:id="rId6"/>
    <sheet name="FullLec_ตรีชีวการแพทย์" sheetId="51" r:id="rId7"/>
    <sheet name="AssoAssME_ตรี" sheetId="1" r:id="rId8"/>
    <sheet name="FullLecME_ตรี" sheetId="2" r:id="rId9"/>
    <sheet name="AssoAssME_โทเอก" sheetId="3" r:id="rId10"/>
    <sheet name="FullLecME_โทเอก" sheetId="4" r:id="rId11"/>
    <sheet name="AssoAss_ตรีเมคา" sheetId="6" r:id="rId12"/>
    <sheet name="FullLec_ตรีเมคา" sheetId="7" r:id="rId13"/>
    <sheet name="AssoAss_โทเอก_เทคโนโลยี" sheetId="38" r:id="rId14"/>
    <sheet name="FullLec_เทคโนโลยีพลังงาน" sheetId="45" r:id="rId15"/>
    <sheet name="AssoAss_ตรี_CE" sheetId="8" r:id="rId16"/>
    <sheet name="FullLec_ตรี_CE" sheetId="9" r:id="rId17"/>
    <sheet name="AssoAss_โทเอก_CE" sheetId="10" r:id="rId18"/>
    <sheet name="FullLec_โทเอก_CE" sheetId="11" r:id="rId19"/>
    <sheet name="AssoAss_ตรี_สวล" sheetId="12" r:id="rId20"/>
    <sheet name="FullLec_ตรี_สวล" sheetId="13" r:id="rId21"/>
    <sheet name="AssoAss_โทเอก_สวล" sheetId="14" r:id="rId22"/>
    <sheet name="FullLec_โทเอก_สวล" sheetId="15" r:id="rId23"/>
    <sheet name="AssoAssIE_ตรี" sheetId="26" r:id="rId24"/>
    <sheet name="FullLecIE_ตรี" sheetId="25" r:id="rId25"/>
    <sheet name="AssoAss_ตรี_การผลิต" sheetId="24" r:id="rId26"/>
    <sheet name="FullLec_ตรี_การผลิต" sheetId="23" r:id="rId27"/>
    <sheet name="AssoAss_โทเอก_อกและระบบ" sheetId="28" r:id="rId28"/>
    <sheet name="FullLec_โทเอก_อกและระบบ" sheetId="53" r:id="rId29"/>
    <sheet name="AssoAss_โทเอก_โลจิสติกส์" sheetId="29" r:id="rId30"/>
    <sheet name="FullLec_โทเอก_โลจิสติกส์" sheetId="27" r:id="rId31"/>
    <sheet name="FullLec_โทเอก_โลจิสติกส์ (New)" sheetId="56" r:id="rId32"/>
    <sheet name="AssoAssChE_ตรี" sheetId="16" r:id="rId33"/>
    <sheet name="FullLecChE_ตรี" sheetId="17" r:id="rId34"/>
    <sheet name="AssoAssChE_โทเอก" sheetId="18" r:id="rId35"/>
    <sheet name="AssoAssMnE_ตรี" sheetId="30" r:id="rId36"/>
    <sheet name="FullLecMnE_ตรี" sheetId="31" r:id="rId37"/>
    <sheet name="AssoAss_ตรี_วัสดุ" sheetId="32" r:id="rId38"/>
    <sheet name="FullLec_ตรี_วัสดุ" sheetId="33" r:id="rId39"/>
    <sheet name="AssoAssMnE_โทเอก" sheetId="34" r:id="rId40"/>
    <sheet name="FullLecMnE_โทเอก" sheetId="35" r:id="rId41"/>
    <sheet name="AssoAss_โทเอก_วัสดุ" sheetId="36" r:id="rId42"/>
    <sheet name="FullLec_โทเอก_วัสดุ" sheetId="37" r:id="rId43"/>
    <sheet name="AssoAss_โทเอก_เหมืองแร่วัสดุ" sheetId="54" r:id="rId44"/>
    <sheet name="FullLec_โทเอกเหมืองแร่วัสดุ" sheetId="55" r:id="rId45"/>
    <sheet name="AssoAssCoE_ตรี" sheetId="19" r:id="rId46"/>
    <sheet name="FullLecCoE_ตรี" sheetId="20" r:id="rId47"/>
    <sheet name="AssoAssCoE_โทเอก" sheetId="21" r:id="rId48"/>
    <sheet name="FullLecCoE_โทเอก" sheetId="22" r:id="rId49"/>
    <sheet name="AssoAssMIT_โท" sheetId="41" r:id="rId50"/>
    <sheet name="FullLecMIT_โท" sheetId="42" r:id="rId51"/>
    <sheet name="AssoAssMIM_โท" sheetId="43" r:id="rId52"/>
    <sheet name="FullLecMIM_โท" sheetId="44" r:id="rId53"/>
  </sheets>
  <calcPr calcId="144525"/>
</workbook>
</file>

<file path=xl/calcChain.xml><?xml version="1.0" encoding="utf-8"?>
<calcChain xmlns="http://schemas.openxmlformats.org/spreadsheetml/2006/main">
  <c r="F5" i="56" l="1"/>
  <c r="C5" i="56"/>
  <c r="C4" i="56"/>
  <c r="C3" i="56"/>
  <c r="F2" i="56"/>
  <c r="F6" i="56" s="1"/>
  <c r="C2" i="56" l="1"/>
  <c r="C6" i="56" s="1"/>
  <c r="C7" i="56" s="1"/>
  <c r="J20" i="8"/>
  <c r="I20" i="8"/>
  <c r="H20" i="8"/>
  <c r="F29" i="42" l="1"/>
  <c r="F24" i="42"/>
  <c r="F12" i="42"/>
  <c r="C24" i="42"/>
  <c r="C22" i="42"/>
  <c r="C29" i="42"/>
  <c r="F43" i="41"/>
  <c r="F41" i="41"/>
  <c r="F39" i="41"/>
  <c r="F37" i="41"/>
  <c r="F35" i="41"/>
  <c r="F33" i="41"/>
  <c r="F23" i="41"/>
  <c r="F16" i="41"/>
  <c r="F10" i="41"/>
  <c r="F2" i="41"/>
  <c r="C41" i="41"/>
  <c r="C39" i="41"/>
  <c r="C37" i="41"/>
  <c r="C25" i="41"/>
  <c r="C35" i="41"/>
  <c r="C33" i="41"/>
  <c r="C16" i="41"/>
  <c r="C2" i="41"/>
  <c r="F42" i="41"/>
  <c r="C15" i="42"/>
  <c r="C3" i="41"/>
  <c r="C27" i="42"/>
  <c r="C26" i="42" s="1"/>
  <c r="F26" i="42"/>
  <c r="F28" i="42"/>
  <c r="F6" i="42"/>
  <c r="F13" i="42"/>
  <c r="F40" i="41"/>
  <c r="F38" i="41"/>
  <c r="F11" i="41"/>
  <c r="F17" i="41"/>
  <c r="F32" i="41"/>
  <c r="F5" i="41"/>
  <c r="F21" i="41"/>
  <c r="F36" i="41"/>
  <c r="F22" i="42"/>
  <c r="F23" i="42"/>
  <c r="F19" i="42"/>
  <c r="F27" i="42"/>
  <c r="F5" i="42"/>
  <c r="F34" i="41"/>
  <c r="F31" i="41"/>
  <c r="F12" i="41"/>
  <c r="F28" i="41"/>
  <c r="F6" i="41"/>
  <c r="F24" i="41"/>
  <c r="C28" i="42"/>
  <c r="C20" i="42"/>
  <c r="C11" i="42"/>
  <c r="C10" i="42"/>
  <c r="C14" i="42"/>
  <c r="C38" i="41"/>
  <c r="C14" i="41"/>
  <c r="C19" i="41"/>
  <c r="C6" i="41"/>
  <c r="C22" i="41"/>
  <c r="C36" i="41"/>
  <c r="C13" i="41"/>
  <c r="C23" i="42"/>
  <c r="C19" i="42"/>
  <c r="C16" i="42"/>
  <c r="C34" i="41"/>
  <c r="C31" i="41"/>
  <c r="C28" i="41"/>
  <c r="C24" i="41"/>
  <c r="C42" i="41"/>
  <c r="C5" i="41"/>
  <c r="C43" i="41" l="1"/>
  <c r="F27" i="44"/>
  <c r="C27" i="44"/>
  <c r="F43" i="43"/>
  <c r="C43" i="43"/>
  <c r="F35" i="43"/>
  <c r="F33" i="43" s="1"/>
  <c r="F30" i="43"/>
  <c r="F21" i="43"/>
  <c r="F26" i="43"/>
  <c r="F24" i="43" s="1"/>
  <c r="F32" i="43"/>
  <c r="F29" i="43"/>
  <c r="F27" i="43" s="1"/>
  <c r="F14" i="43"/>
  <c r="F17" i="43"/>
  <c r="F22" i="44"/>
  <c r="F20" i="44"/>
  <c r="F18" i="44"/>
  <c r="F16" i="44"/>
  <c r="F25" i="44"/>
  <c r="C34" i="43"/>
  <c r="C33" i="43" s="1"/>
  <c r="C29" i="43"/>
  <c r="C21" i="43"/>
  <c r="C19" i="43" s="1"/>
  <c r="C32" i="43"/>
  <c r="C31" i="43" s="1"/>
  <c r="C28" i="43"/>
  <c r="C27" i="43" s="1"/>
  <c r="C15" i="43"/>
  <c r="C18" i="43"/>
  <c r="C22" i="43" l="1"/>
  <c r="C8" i="43"/>
  <c r="C11" i="43"/>
  <c r="F17" i="45" l="1"/>
  <c r="F25" i="45"/>
  <c r="C25" i="45"/>
  <c r="F34" i="38"/>
  <c r="C34" i="38"/>
  <c r="F3" i="45"/>
  <c r="F2" i="45" s="1"/>
  <c r="F33" i="38"/>
  <c r="F32" i="38" s="1"/>
  <c r="F19" i="38"/>
  <c r="F18" i="38" s="1"/>
  <c r="F17" i="38"/>
  <c r="F16" i="38" s="1"/>
  <c r="F14" i="38"/>
  <c r="F24" i="38"/>
  <c r="F23" i="38" s="1"/>
  <c r="F25" i="38"/>
  <c r="F16" i="45"/>
  <c r="F21" i="38"/>
  <c r="F13" i="45"/>
  <c r="F8" i="45"/>
  <c r="F13" i="38"/>
  <c r="F12" i="38" s="1"/>
  <c r="F31" i="38"/>
  <c r="F24" i="45"/>
  <c r="F30" i="38"/>
  <c r="F29" i="38" s="1"/>
  <c r="F22" i="45"/>
  <c r="F23" i="45"/>
  <c r="F7" i="45"/>
  <c r="F5" i="45" s="1"/>
  <c r="F11" i="38"/>
  <c r="F9" i="38"/>
  <c r="F5" i="38"/>
  <c r="C33" i="38"/>
  <c r="F28" i="38"/>
  <c r="F6" i="45"/>
  <c r="F8" i="38"/>
  <c r="F4" i="38"/>
  <c r="F7" i="38"/>
  <c r="F3" i="38"/>
  <c r="F18" i="45"/>
  <c r="C17" i="38"/>
  <c r="C16" i="38" s="1"/>
  <c r="C15" i="38"/>
  <c r="C26" i="38"/>
  <c r="C25" i="38"/>
  <c r="C24" i="38"/>
  <c r="C22" i="38"/>
  <c r="C13" i="45"/>
  <c r="C22" i="45"/>
  <c r="C20" i="45"/>
  <c r="C7" i="38"/>
  <c r="C6" i="38" s="1"/>
  <c r="C21" i="38"/>
  <c r="F21" i="45" l="1"/>
  <c r="F27" i="38"/>
  <c r="F6" i="38"/>
  <c r="F2" i="38"/>
  <c r="C23" i="38"/>
  <c r="C20" i="38"/>
  <c r="C19" i="45"/>
  <c r="C21" i="45"/>
  <c r="C19" i="38"/>
  <c r="C18" i="38" s="1"/>
  <c r="C16" i="45"/>
  <c r="F14" i="45" s="1"/>
  <c r="C10" i="45"/>
  <c r="C14" i="38"/>
  <c r="C13" i="38"/>
  <c r="C12" i="38" l="1"/>
  <c r="C9" i="45"/>
  <c r="C11" i="38"/>
  <c r="C10" i="38" s="1"/>
  <c r="C3" i="38"/>
  <c r="C2" i="38"/>
  <c r="F10" i="38"/>
  <c r="C8" i="45"/>
  <c r="C18" i="45"/>
  <c r="C17" i="45" l="1"/>
  <c r="C12" i="45" l="1"/>
  <c r="C11" i="45" s="1"/>
  <c r="F11" i="45"/>
  <c r="C14" i="45"/>
  <c r="C7" i="45"/>
  <c r="C6" i="45"/>
  <c r="C4" i="45"/>
  <c r="C3" i="45"/>
  <c r="F20" i="38"/>
  <c r="C32" i="38"/>
  <c r="C35" i="38"/>
  <c r="C2" i="45" l="1"/>
  <c r="C5" i="45"/>
  <c r="F26" i="45"/>
  <c r="F35" i="38"/>
  <c r="C36" i="38" s="1"/>
  <c r="C26" i="45" l="1"/>
  <c r="C27" i="45" s="1"/>
  <c r="C23" i="41"/>
  <c r="C17" i="7" l="1"/>
  <c r="C15" i="7"/>
  <c r="C13" i="7"/>
  <c r="F7" i="7"/>
  <c r="C7" i="7"/>
  <c r="C19" i="7" s="1"/>
  <c r="C20" i="7" s="1"/>
  <c r="F2" i="7"/>
  <c r="F19" i="7" s="1"/>
  <c r="F20" i="7" s="1"/>
  <c r="C21" i="7" s="1"/>
  <c r="C2" i="7"/>
  <c r="C26" i="6"/>
  <c r="C24" i="6"/>
  <c r="C22" i="6"/>
  <c r="F20" i="6"/>
  <c r="F18" i="6"/>
  <c r="F14" i="6"/>
  <c r="C14" i="6"/>
  <c r="C12" i="6"/>
  <c r="F9" i="6"/>
  <c r="F5" i="6"/>
  <c r="C5" i="6"/>
  <c r="F2" i="6"/>
  <c r="F28" i="6" s="1"/>
  <c r="F29" i="6" s="1"/>
  <c r="C2" i="6"/>
  <c r="C28" i="6" s="1"/>
  <c r="C29" i="6" s="1"/>
  <c r="C30" i="6" s="1"/>
  <c r="F2" i="4"/>
  <c r="F5" i="4" s="1"/>
  <c r="F6" i="4" s="1"/>
  <c r="C7" i="4" s="1"/>
  <c r="C2" i="4"/>
  <c r="C5" i="4" s="1"/>
  <c r="C6" i="4" s="1"/>
  <c r="C10" i="3"/>
  <c r="F6" i="3"/>
  <c r="C6" i="3"/>
  <c r="F4" i="3"/>
  <c r="C4" i="3"/>
  <c r="C12" i="3" s="1"/>
  <c r="C13" i="3" s="1"/>
  <c r="F2" i="3"/>
  <c r="F12" i="3" s="1"/>
  <c r="F13" i="3" s="1"/>
  <c r="C53" i="2"/>
  <c r="C47" i="2"/>
  <c r="F41" i="2"/>
  <c r="C41" i="2"/>
  <c r="F34" i="2"/>
  <c r="C34" i="2"/>
  <c r="F30" i="2"/>
  <c r="C30" i="2"/>
  <c r="F23" i="2"/>
  <c r="C23" i="2"/>
  <c r="F16" i="2"/>
  <c r="C16" i="2"/>
  <c r="F9" i="2"/>
  <c r="C9" i="2"/>
  <c r="F2" i="2"/>
  <c r="F56" i="2" s="1"/>
  <c r="F57" i="2" s="1"/>
  <c r="C58" i="2" s="1"/>
  <c r="C2" i="2"/>
  <c r="C56" i="2" s="1"/>
  <c r="C57" i="2" s="1"/>
  <c r="C67" i="1"/>
  <c r="F64" i="1"/>
  <c r="F58" i="1"/>
  <c r="C58" i="1"/>
  <c r="C54" i="1"/>
  <c r="C53" i="1"/>
  <c r="C52" i="1" s="1"/>
  <c r="F52" i="1"/>
  <c r="F48" i="1"/>
  <c r="C48" i="1"/>
  <c r="F44" i="1"/>
  <c r="C44" i="1"/>
  <c r="F38" i="1"/>
  <c r="C38" i="1"/>
  <c r="F31" i="1"/>
  <c r="C31" i="1"/>
  <c r="F28" i="1"/>
  <c r="C28" i="1"/>
  <c r="F21" i="1"/>
  <c r="C21" i="1"/>
  <c r="F19" i="1"/>
  <c r="C19" i="1"/>
  <c r="F12" i="1"/>
  <c r="C12" i="1"/>
  <c r="C69" i="1" s="1"/>
  <c r="C70" i="1" s="1"/>
  <c r="C71" i="1" s="1"/>
  <c r="F7" i="1"/>
  <c r="F2" i="1"/>
  <c r="F69" i="1" s="1"/>
  <c r="F70" i="1" s="1"/>
  <c r="C2" i="1"/>
  <c r="C14" i="3" l="1"/>
  <c r="F22" i="49"/>
  <c r="C22" i="49"/>
  <c r="C20" i="47"/>
  <c r="F16" i="46" l="1"/>
  <c r="F12" i="46"/>
  <c r="F6" i="46"/>
  <c r="F2" i="46"/>
  <c r="C87" i="46"/>
  <c r="F71" i="47"/>
  <c r="C71" i="47"/>
  <c r="C33" i="48"/>
  <c r="F17" i="50"/>
  <c r="C19" i="50"/>
  <c r="C10" i="51"/>
  <c r="F8" i="51"/>
  <c r="C8" i="51"/>
  <c r="C22" i="48"/>
  <c r="C33" i="46"/>
  <c r="F22" i="54" l="1"/>
  <c r="F8" i="54"/>
  <c r="F24" i="37"/>
  <c r="C24" i="37"/>
  <c r="F21" i="37"/>
  <c r="F25" i="55" l="1"/>
  <c r="F26" i="55"/>
  <c r="D27" i="55" s="1"/>
  <c r="F23" i="36"/>
  <c r="C23" i="36"/>
  <c r="C13" i="35"/>
  <c r="F16" i="34"/>
  <c r="C16" i="34"/>
  <c r="C45" i="33"/>
  <c r="F51" i="31"/>
  <c r="C51" i="31"/>
  <c r="F17" i="31"/>
  <c r="F28" i="31"/>
  <c r="F32" i="30" l="1"/>
  <c r="C32" i="30"/>
  <c r="F19" i="54" l="1"/>
  <c r="F19" i="32"/>
  <c r="C16" i="36"/>
  <c r="F16" i="36"/>
  <c r="F17" i="36"/>
  <c r="F22" i="55"/>
  <c r="F39" i="31"/>
  <c r="F30" i="33"/>
  <c r="F14" i="54"/>
  <c r="F17" i="32"/>
  <c r="F10" i="36"/>
  <c r="F17" i="30"/>
  <c r="F11" i="54"/>
  <c r="F24" i="32"/>
  <c r="F28" i="30"/>
  <c r="C14" i="30"/>
  <c r="F10" i="32"/>
  <c r="F64" i="24"/>
  <c r="F65" i="24"/>
  <c r="F19" i="55"/>
  <c r="F43" i="31"/>
  <c r="F16" i="55"/>
  <c r="F5" i="54"/>
  <c r="F2" i="36"/>
  <c r="F2" i="34"/>
  <c r="F2" i="30"/>
  <c r="F12" i="55"/>
  <c r="F8" i="37"/>
  <c r="F14" i="33"/>
  <c r="F13" i="31"/>
  <c r="F9" i="55"/>
  <c r="F12" i="37"/>
  <c r="F2" i="54"/>
  <c r="F20" i="36"/>
  <c r="F5" i="32"/>
  <c r="F7" i="34"/>
  <c r="F8" i="30"/>
  <c r="F5" i="37"/>
  <c r="F6" i="55"/>
  <c r="F5" i="55" s="1"/>
  <c r="F5" i="33"/>
  <c r="F23" i="54" l="1"/>
  <c r="D24" i="54" s="1"/>
  <c r="F9" i="31"/>
  <c r="F2" i="55" l="1"/>
  <c r="C24" i="30" l="1"/>
  <c r="C19" i="32"/>
  <c r="C18" i="37"/>
  <c r="C30" i="33"/>
  <c r="C39" i="31"/>
  <c r="C17" i="32"/>
  <c r="C13" i="34"/>
  <c r="C10" i="36"/>
  <c r="C24" i="32" l="1"/>
  <c r="C33" i="32" l="1"/>
  <c r="C29" i="30"/>
  <c r="C28" i="30" s="1"/>
  <c r="C30" i="30"/>
  <c r="C31" i="30"/>
  <c r="C5" i="36"/>
  <c r="C10" i="32"/>
  <c r="C8" i="35"/>
  <c r="C40" i="33"/>
  <c r="C27" i="33"/>
  <c r="C28" i="31"/>
  <c r="C2" i="36"/>
  <c r="C2" i="34"/>
  <c r="C2" i="30"/>
  <c r="C14" i="33" l="1"/>
  <c r="C13" i="31"/>
  <c r="C8" i="37"/>
  <c r="C2" i="35"/>
  <c r="C4" i="35"/>
  <c r="C23" i="33"/>
  <c r="C17" i="31"/>
  <c r="C7" i="34"/>
  <c r="C5" i="32"/>
  <c r="C8" i="30"/>
  <c r="F2" i="31"/>
  <c r="C5" i="33" l="1"/>
  <c r="C6" i="35"/>
  <c r="C7" i="37" l="1"/>
  <c r="C6" i="37"/>
  <c r="C5" i="37" s="1"/>
  <c r="C9" i="31"/>
  <c r="C2" i="33" l="1"/>
  <c r="C2" i="31"/>
  <c r="F16" i="23" l="1"/>
  <c r="C16" i="23"/>
  <c r="C11" i="48" l="1"/>
  <c r="C10" i="48"/>
  <c r="C2" i="50"/>
  <c r="C15" i="50"/>
  <c r="C11" i="49"/>
  <c r="C37" i="46"/>
  <c r="C12" i="47" l="1"/>
  <c r="C15" i="49"/>
  <c r="C57" i="47"/>
  <c r="C18" i="48"/>
  <c r="C17" i="49"/>
  <c r="C62" i="47"/>
  <c r="F62" i="47"/>
  <c r="C2" i="46"/>
  <c r="C14" i="48"/>
  <c r="C16" i="46"/>
  <c r="F65" i="46"/>
  <c r="C14" i="23"/>
  <c r="F4" i="49" l="1"/>
  <c r="C6" i="21" l="1"/>
  <c r="C4" i="21"/>
  <c r="C2" i="21"/>
  <c r="F4" i="51" l="1"/>
  <c r="F7" i="50"/>
  <c r="F18" i="48" l="1"/>
  <c r="F12" i="50"/>
  <c r="F20" i="49"/>
  <c r="F67" i="47"/>
  <c r="F17" i="49"/>
  <c r="F15" i="49"/>
  <c r="F52" i="47"/>
  <c r="C52" i="47" l="1"/>
  <c r="F42" i="8"/>
  <c r="F14" i="13"/>
  <c r="F3" i="51" l="1"/>
  <c r="F26" i="48" l="1"/>
  <c r="F37" i="12" l="1"/>
  <c r="F63" i="8"/>
  <c r="F4" i="14"/>
  <c r="F2" i="13"/>
  <c r="C2" i="13"/>
  <c r="F4" i="8"/>
  <c r="F47" i="46" l="1"/>
  <c r="F8" i="27" l="1"/>
  <c r="C8" i="27"/>
  <c r="F16" i="29"/>
  <c r="C16" i="29"/>
  <c r="F6" i="53"/>
  <c r="C6" i="53"/>
  <c r="F7" i="53"/>
  <c r="C7" i="53"/>
  <c r="F17" i="28"/>
  <c r="C17" i="28"/>
  <c r="C4" i="28"/>
  <c r="F18" i="25"/>
  <c r="C18" i="25"/>
  <c r="F52" i="26"/>
  <c r="C52" i="26"/>
  <c r="F31" i="24"/>
  <c r="F9" i="28"/>
  <c r="F9" i="23"/>
  <c r="F16" i="25"/>
  <c r="F4" i="53"/>
  <c r="F50" i="24"/>
  <c r="F61" i="24"/>
  <c r="C61" i="24"/>
  <c r="F2" i="29"/>
  <c r="F38" i="26"/>
  <c r="F36" i="24"/>
  <c r="F11" i="24"/>
  <c r="F4" i="26"/>
  <c r="F4" i="23"/>
  <c r="F8" i="25"/>
  <c r="F19" i="24"/>
  <c r="F13" i="26"/>
  <c r="F17" i="14"/>
  <c r="F57" i="24"/>
  <c r="F2" i="28"/>
  <c r="F5" i="27"/>
  <c r="F2" i="53"/>
  <c r="F4" i="25"/>
  <c r="F44" i="24"/>
  <c r="F41" i="26"/>
  <c r="F15" i="28"/>
  <c r="F27" i="24"/>
  <c r="C30" i="26"/>
  <c r="F30" i="26"/>
  <c r="F2" i="26"/>
  <c r="F2" i="24"/>
  <c r="F66" i="24" s="1"/>
  <c r="C2" i="24"/>
  <c r="C8" i="53" l="1"/>
  <c r="C48" i="26" l="1"/>
  <c r="C57" i="24"/>
  <c r="C4" i="23"/>
  <c r="C8" i="25"/>
  <c r="F2" i="23"/>
  <c r="C2" i="23"/>
  <c r="C5" i="27"/>
  <c r="C7" i="27"/>
  <c r="C6" i="27"/>
  <c r="C45" i="26"/>
  <c r="C50" i="24"/>
  <c r="C41" i="26"/>
  <c r="C44" i="24"/>
  <c r="C38" i="26"/>
  <c r="C36" i="24"/>
  <c r="C31" i="24"/>
  <c r="C37" i="26"/>
  <c r="C35" i="26" s="1"/>
  <c r="C27" i="24"/>
  <c r="C3" i="27"/>
  <c r="C4" i="27"/>
  <c r="C18" i="26"/>
  <c r="C13" i="26"/>
  <c r="C19" i="24"/>
  <c r="C2" i="25"/>
  <c r="C4" i="26"/>
  <c r="C11" i="24"/>
  <c r="C66" i="24" l="1"/>
  <c r="C2" i="27"/>
  <c r="F30" i="32" l="1"/>
  <c r="F35" i="32" s="1"/>
  <c r="C30" i="32"/>
  <c r="F18" i="50"/>
  <c r="C17" i="50"/>
  <c r="C2" i="26" l="1"/>
  <c r="F19" i="13" l="1"/>
  <c r="C19" i="13"/>
  <c r="F43" i="12"/>
  <c r="F33" i="12" l="1"/>
  <c r="F5" i="15" l="1"/>
  <c r="F10" i="12"/>
  <c r="F7" i="14" l="1"/>
  <c r="F6" i="8" l="1"/>
  <c r="F28" i="8" l="1"/>
  <c r="F2" i="14"/>
  <c r="F2" i="12"/>
  <c r="C4" i="14" l="1"/>
  <c r="C10" i="14"/>
  <c r="C13" i="14"/>
  <c r="C19" i="14" s="1"/>
  <c r="C4" i="11"/>
  <c r="C12" i="9"/>
  <c r="C50" i="8"/>
  <c r="C56" i="8"/>
  <c r="F59" i="8"/>
  <c r="C28" i="8"/>
  <c r="C2" i="10"/>
  <c r="C46" i="8"/>
  <c r="C43" i="12"/>
  <c r="C20" i="8"/>
  <c r="F56" i="8" l="1"/>
  <c r="F35" i="18"/>
  <c r="L33" i="18"/>
  <c r="F33" i="18" l="1"/>
  <c r="L11" i="18" l="1"/>
  <c r="F52" i="16" l="1"/>
  <c r="C9" i="22" l="1"/>
  <c r="F7" i="22"/>
  <c r="C16" i="21"/>
  <c r="F4" i="22"/>
  <c r="F45" i="20"/>
  <c r="F14" i="21"/>
  <c r="F80" i="19"/>
  <c r="F8" i="21"/>
  <c r="F2" i="21"/>
  <c r="F2" i="19"/>
  <c r="C45" i="20" l="1"/>
  <c r="C36" i="20"/>
  <c r="C102" i="19"/>
  <c r="F102" i="19"/>
  <c r="C30" i="20"/>
  <c r="C94" i="19"/>
  <c r="F94" i="19"/>
  <c r="C88" i="19"/>
  <c r="C25" i="20"/>
  <c r="C20" i="20"/>
  <c r="C4" i="22"/>
  <c r="C15" i="20"/>
  <c r="C8" i="20"/>
  <c r="C80" i="19"/>
  <c r="C2" i="22"/>
  <c r="C2" i="20"/>
  <c r="C73" i="19"/>
  <c r="C68" i="19"/>
  <c r="C11" i="21"/>
  <c r="C62" i="19"/>
  <c r="C55" i="19"/>
  <c r="C8" i="21"/>
  <c r="C51" i="19"/>
  <c r="C43" i="19"/>
  <c r="C37" i="19"/>
  <c r="C30" i="19"/>
  <c r="C23" i="19"/>
  <c r="C18" i="19"/>
  <c r="C11" i="19"/>
  <c r="C6" i="19"/>
  <c r="C2" i="19"/>
  <c r="C50" i="20" l="1"/>
  <c r="C51" i="20" s="1"/>
  <c r="C108" i="19"/>
  <c r="C7" i="22"/>
  <c r="C8" i="22" s="1"/>
  <c r="L13" i="17" l="1"/>
  <c r="L79" i="16"/>
  <c r="F13" i="17" l="1"/>
  <c r="L2" i="17"/>
  <c r="F2" i="17"/>
  <c r="L7" i="17" l="1"/>
  <c r="L74" i="16"/>
  <c r="L23" i="18"/>
  <c r="L52" i="16"/>
  <c r="L21" i="18"/>
  <c r="F26" i="18" l="1"/>
  <c r="F23" i="18"/>
  <c r="F13" i="18"/>
  <c r="F23" i="16"/>
  <c r="F25" i="42" l="1"/>
  <c r="C25" i="42"/>
  <c r="C12" i="42"/>
  <c r="F20" i="42"/>
  <c r="F18" i="42"/>
  <c r="C18" i="42"/>
  <c r="C2" i="42"/>
  <c r="F4" i="42"/>
  <c r="C4" i="42"/>
  <c r="C3" i="42"/>
  <c r="C7" i="41"/>
  <c r="C40" i="41"/>
  <c r="F20" i="41"/>
  <c r="C20" i="41"/>
  <c r="C32" i="41"/>
  <c r="F30" i="41"/>
  <c r="F27" i="41"/>
  <c r="C27" i="41"/>
  <c r="C26" i="41"/>
  <c r="F2" i="42" l="1"/>
  <c r="C30" i="42"/>
  <c r="C30" i="41"/>
  <c r="C10" i="41"/>
  <c r="F30" i="42"/>
  <c r="C9" i="51"/>
  <c r="F9" i="51"/>
  <c r="C5" i="51"/>
  <c r="C8" i="50"/>
  <c r="C7" i="50" s="1"/>
  <c r="F5" i="50"/>
  <c r="F4" i="50" s="1"/>
  <c r="C4" i="50"/>
  <c r="F13" i="49"/>
  <c r="F11" i="49" s="1"/>
  <c r="C10" i="49"/>
  <c r="C9" i="49" s="1"/>
  <c r="C7" i="49"/>
  <c r="C5" i="49"/>
  <c r="C4" i="49" s="1"/>
  <c r="F2" i="49"/>
  <c r="C2" i="49"/>
  <c r="F32" i="48"/>
  <c r="F31" i="48" s="1"/>
  <c r="C32" i="48"/>
  <c r="C31" i="48" s="1"/>
  <c r="C27" i="48"/>
  <c r="C26" i="48" s="1"/>
  <c r="F23" i="48"/>
  <c r="F22" i="48" s="1"/>
  <c r="F14" i="48"/>
  <c r="C13" i="48"/>
  <c r="C6" i="48"/>
  <c r="F6" i="48"/>
  <c r="F3" i="48"/>
  <c r="F2" i="48" s="1"/>
  <c r="F33" i="48" s="1"/>
  <c r="C2" i="48"/>
  <c r="C50" i="47"/>
  <c r="C49" i="47"/>
  <c r="C48" i="47"/>
  <c r="C47" i="47"/>
  <c r="C46" i="47"/>
  <c r="F44" i="47"/>
  <c r="C45" i="47"/>
  <c r="F36" i="47"/>
  <c r="F28" i="47"/>
  <c r="F20" i="47"/>
  <c r="F12" i="47"/>
  <c r="F8" i="47"/>
  <c r="C8" i="47"/>
  <c r="F2" i="47"/>
  <c r="F78" i="46"/>
  <c r="C78" i="46"/>
  <c r="C77" i="46"/>
  <c r="C76" i="46"/>
  <c r="C75" i="46"/>
  <c r="C74" i="46"/>
  <c r="F72" i="46"/>
  <c r="C73" i="46"/>
  <c r="C71" i="46"/>
  <c r="C70" i="46"/>
  <c r="C69" i="46"/>
  <c r="C68" i="46"/>
  <c r="C67" i="46"/>
  <c r="C66" i="46"/>
  <c r="F60" i="46"/>
  <c r="F53" i="46"/>
  <c r="F44" i="46"/>
  <c r="F37" i="46"/>
  <c r="F36" i="46"/>
  <c r="F35" i="46"/>
  <c r="F34" i="46"/>
  <c r="F14" i="46"/>
  <c r="F13" i="46"/>
  <c r="C31" i="42" l="1"/>
  <c r="F44" i="41"/>
  <c r="C44" i="41"/>
  <c r="F23" i="49"/>
  <c r="C20" i="50"/>
  <c r="C28" i="48"/>
  <c r="C12" i="48"/>
  <c r="C34" i="48" s="1"/>
  <c r="C28" i="47"/>
  <c r="C12" i="46"/>
  <c r="C28" i="46"/>
  <c r="C72" i="46"/>
  <c r="F34" i="48"/>
  <c r="C2" i="47"/>
  <c r="F57" i="47"/>
  <c r="F72" i="47" s="1"/>
  <c r="C36" i="47"/>
  <c r="C44" i="47"/>
  <c r="C53" i="46"/>
  <c r="C6" i="46"/>
  <c r="F33" i="46"/>
  <c r="C60" i="46"/>
  <c r="C47" i="46"/>
  <c r="C22" i="46"/>
  <c r="F22" i="46"/>
  <c r="F87" i="46" s="1"/>
  <c r="C44" i="46"/>
  <c r="C65" i="46"/>
  <c r="C23" i="49"/>
  <c r="F14" i="44"/>
  <c r="F12" i="44"/>
  <c r="C10" i="44"/>
  <c r="C8" i="44"/>
  <c r="F6" i="44"/>
  <c r="C6" i="44"/>
  <c r="C5" i="44"/>
  <c r="C4" i="44"/>
  <c r="C2" i="44"/>
  <c r="F31" i="43"/>
  <c r="F41" i="43"/>
  <c r="F39" i="43"/>
  <c r="F19" i="43"/>
  <c r="F36" i="43"/>
  <c r="C16" i="43"/>
  <c r="F16" i="43"/>
  <c r="C13" i="43"/>
  <c r="F13" i="43"/>
  <c r="C6" i="43"/>
  <c r="C4" i="43"/>
  <c r="F2" i="43"/>
  <c r="C2" i="43"/>
  <c r="C45" i="41" l="1"/>
  <c r="C28" i="44"/>
  <c r="F28" i="44"/>
  <c r="C24" i="49"/>
  <c r="C35" i="48"/>
  <c r="F88" i="46"/>
  <c r="C72" i="47"/>
  <c r="C73" i="47" s="1"/>
  <c r="C88" i="46"/>
  <c r="C44" i="43"/>
  <c r="F44" i="43"/>
  <c r="C29" i="44" l="1"/>
  <c r="C89" i="46"/>
  <c r="C45" i="43"/>
  <c r="C4" i="9" l="1"/>
  <c r="C2" i="9" s="1"/>
  <c r="F8" i="20" l="1"/>
  <c r="F12" i="29" l="1"/>
  <c r="F45" i="26" l="1"/>
  <c r="F48" i="26"/>
  <c r="F35" i="26"/>
  <c r="F8" i="26"/>
  <c r="C15" i="8" l="1"/>
  <c r="C15" i="36" l="1"/>
  <c r="C14" i="36"/>
  <c r="F6" i="36"/>
  <c r="C13" i="36" l="1"/>
  <c r="F13" i="36"/>
  <c r="F5" i="36"/>
  <c r="F24" i="36" l="1"/>
  <c r="C24" i="36"/>
  <c r="C4" i="37"/>
  <c r="C3" i="37"/>
  <c r="C17" i="37"/>
  <c r="C16" i="37"/>
  <c r="C15" i="37" s="1"/>
  <c r="C14" i="37"/>
  <c r="C13" i="37"/>
  <c r="C12" i="37" s="1"/>
  <c r="C25" i="36" l="1"/>
  <c r="C2" i="37"/>
  <c r="F2" i="37"/>
  <c r="C25" i="37"/>
  <c r="F18" i="37"/>
  <c r="F3" i="34"/>
  <c r="C17" i="34" l="1"/>
  <c r="F25" i="37"/>
  <c r="C26" i="37" s="1"/>
  <c r="C14" i="35"/>
  <c r="C15" i="35" l="1"/>
  <c r="F17" i="34"/>
  <c r="C18" i="34" s="1"/>
  <c r="F45" i="33" l="1"/>
  <c r="F46" i="33" s="1"/>
  <c r="C46" i="33"/>
  <c r="C4" i="32"/>
  <c r="C3" i="32"/>
  <c r="C2" i="32" l="1"/>
  <c r="C35" i="32" s="1"/>
  <c r="C36" i="32" s="1"/>
  <c r="C47" i="33"/>
  <c r="C48" i="31"/>
  <c r="C47" i="31"/>
  <c r="C45" i="31"/>
  <c r="C44" i="31"/>
  <c r="C22" i="30"/>
  <c r="C21" i="30"/>
  <c r="C20" i="30"/>
  <c r="C19" i="30"/>
  <c r="C18" i="30"/>
  <c r="C16" i="30"/>
  <c r="F36" i="32" l="1"/>
  <c r="C37" i="32" s="1"/>
  <c r="C17" i="30"/>
  <c r="C43" i="31"/>
  <c r="F52" i="31" l="1"/>
  <c r="F33" i="30"/>
  <c r="C33" i="30"/>
  <c r="C52" i="31"/>
  <c r="F17" i="23"/>
  <c r="C34" i="30" l="1"/>
  <c r="C53" i="31"/>
  <c r="C109" i="19"/>
  <c r="C17" i="21"/>
  <c r="C9" i="27" l="1"/>
  <c r="F17" i="29"/>
  <c r="C14" i="29"/>
  <c r="C12" i="29" s="1"/>
  <c r="F10" i="29"/>
  <c r="F7" i="29"/>
  <c r="C7" i="29"/>
  <c r="C4" i="29"/>
  <c r="C3" i="29"/>
  <c r="C2" i="29" s="1"/>
  <c r="C17" i="29" s="1"/>
  <c r="C18" i="29" l="1"/>
  <c r="F9" i="27"/>
  <c r="C10" i="27" s="1"/>
  <c r="C3" i="28"/>
  <c r="C2" i="28" s="1"/>
  <c r="F11" i="28"/>
  <c r="C10" i="28"/>
  <c r="C7" i="28"/>
  <c r="F18" i="28" l="1"/>
  <c r="C11" i="28"/>
  <c r="C9" i="28"/>
  <c r="C17" i="23"/>
  <c r="C18" i="23" s="1"/>
  <c r="F67" i="24" l="1"/>
  <c r="C18" i="28"/>
  <c r="C19" i="28" s="1"/>
  <c r="C7" i="25"/>
  <c r="C6" i="25"/>
  <c r="C5" i="25"/>
  <c r="F18" i="26"/>
  <c r="C27" i="26"/>
  <c r="F25" i="26"/>
  <c r="C11" i="26"/>
  <c r="C10" i="26"/>
  <c r="C9" i="26"/>
  <c r="F19" i="25" l="1"/>
  <c r="C25" i="26"/>
  <c r="C8" i="26"/>
  <c r="F53" i="26"/>
  <c r="C67" i="24"/>
  <c r="C68" i="24" s="1"/>
  <c r="C4" i="25"/>
  <c r="F2" i="22"/>
  <c r="F8" i="22" s="1"/>
  <c r="F6" i="21"/>
  <c r="F16" i="21" s="1"/>
  <c r="F4" i="21"/>
  <c r="F36" i="20"/>
  <c r="F30" i="20"/>
  <c r="F25" i="20"/>
  <c r="F20" i="20"/>
  <c r="F15" i="20"/>
  <c r="F2" i="20"/>
  <c r="F88" i="19"/>
  <c r="F73" i="19"/>
  <c r="F68" i="19"/>
  <c r="F62" i="19"/>
  <c r="F55" i="19"/>
  <c r="F51" i="19"/>
  <c r="F43" i="19"/>
  <c r="F30" i="19"/>
  <c r="F37" i="19"/>
  <c r="F23" i="19"/>
  <c r="F18" i="19"/>
  <c r="F11" i="19"/>
  <c r="F6" i="19"/>
  <c r="C53" i="26" l="1"/>
  <c r="C54" i="26" s="1"/>
  <c r="F108" i="19"/>
  <c r="F50" i="20"/>
  <c r="F51" i="20" s="1"/>
  <c r="C52" i="20" s="1"/>
  <c r="F17" i="21"/>
  <c r="C18" i="21" s="1"/>
  <c r="F109" i="19"/>
  <c r="C110" i="19" s="1"/>
  <c r="C19" i="25"/>
  <c r="C20" i="25" s="1"/>
  <c r="L31" i="18"/>
  <c r="F31" i="18"/>
  <c r="F29" i="18"/>
  <c r="L16" i="18"/>
  <c r="L9" i="18"/>
  <c r="L6" i="18"/>
  <c r="F6" i="18"/>
  <c r="L4" i="18"/>
  <c r="F2" i="18"/>
  <c r="L14" i="17"/>
  <c r="F14" i="17"/>
  <c r="D15" i="17" s="1"/>
  <c r="F74" i="16"/>
  <c r="L66" i="16"/>
  <c r="F66" i="16"/>
  <c r="L58" i="16"/>
  <c r="F58" i="16"/>
  <c r="F79" i="16" s="1"/>
  <c r="L46" i="16"/>
  <c r="F46" i="16"/>
  <c r="L41" i="16"/>
  <c r="F41" i="16"/>
  <c r="L35" i="16"/>
  <c r="F35" i="16"/>
  <c r="L30" i="16"/>
  <c r="F30" i="16"/>
  <c r="L23" i="16"/>
  <c r="L17" i="16"/>
  <c r="F17" i="16"/>
  <c r="L10" i="16"/>
  <c r="F10" i="16"/>
  <c r="L2" i="16"/>
  <c r="F2" i="16"/>
  <c r="F34" i="18" l="1"/>
  <c r="L34" i="18"/>
  <c r="L80" i="16"/>
  <c r="F80" i="16"/>
  <c r="F2" i="15"/>
  <c r="C2" i="15"/>
  <c r="C20" i="14"/>
  <c r="F13" i="14"/>
  <c r="F19" i="14" s="1"/>
  <c r="F10" i="14"/>
  <c r="C37" i="12"/>
  <c r="C33" i="12"/>
  <c r="C31" i="12"/>
  <c r="C15" i="12"/>
  <c r="C10" i="12"/>
  <c r="F6" i="12"/>
  <c r="F5" i="12" s="1"/>
  <c r="C5" i="12"/>
  <c r="C2" i="12"/>
  <c r="C8" i="15" l="1"/>
  <c r="C9" i="15" s="1"/>
  <c r="F8" i="15"/>
  <c r="F9" i="15" s="1"/>
  <c r="C45" i="12"/>
  <c r="F45" i="12"/>
  <c r="F46" i="12" s="1"/>
  <c r="F20" i="14"/>
  <c r="C21" i="14" s="1"/>
  <c r="C46" i="12"/>
  <c r="D81" i="16"/>
  <c r="F4" i="11"/>
  <c r="F2" i="11"/>
  <c r="C7" i="11"/>
  <c r="C8" i="11" s="1"/>
  <c r="C12" i="10"/>
  <c r="F10" i="10"/>
  <c r="F7" i="10"/>
  <c r="C7" i="10"/>
  <c r="F5" i="10"/>
  <c r="F2" i="10"/>
  <c r="F22" i="9"/>
  <c r="F19" i="9" s="1"/>
  <c r="C19" i="9"/>
  <c r="F15" i="9"/>
  <c r="C15" i="9"/>
  <c r="F12" i="9"/>
  <c r="F5" i="9"/>
  <c r="C5" i="9"/>
  <c r="C10" i="15" l="1"/>
  <c r="F7" i="11"/>
  <c r="F8" i="11" s="1"/>
  <c r="C26" i="9"/>
  <c r="F26" i="9"/>
  <c r="C14" i="10"/>
  <c r="C15" i="10" s="1"/>
  <c r="F14" i="10"/>
  <c r="F15" i="10" s="1"/>
  <c r="C9" i="11"/>
  <c r="C47" i="12"/>
  <c r="C27" i="9"/>
  <c r="F52" i="8"/>
  <c r="F50" i="8" s="1"/>
  <c r="F46" i="8"/>
  <c r="C42" i="8"/>
  <c r="F39" i="8"/>
  <c r="F37" i="8" s="1"/>
  <c r="C37" i="8"/>
  <c r="F34" i="8"/>
  <c r="C32" i="8"/>
  <c r="F25" i="8"/>
  <c r="C25" i="8"/>
  <c r="F22" i="8"/>
  <c r="F20" i="8" s="1"/>
  <c r="F15" i="8"/>
  <c r="F12" i="8"/>
  <c r="F10" i="8" s="1"/>
  <c r="C10" i="8"/>
  <c r="C6" i="8"/>
  <c r="C65" i="8" s="1"/>
  <c r="F2" i="8"/>
  <c r="C66" i="8" l="1"/>
  <c r="C16" i="10"/>
  <c r="F27" i="9"/>
  <c r="C28" i="9" s="1"/>
  <c r="F32" i="8"/>
  <c r="F65" i="8" s="1"/>
  <c r="B24" i="5" l="1"/>
  <c r="C23" i="5"/>
  <c r="C22" i="5"/>
  <c r="C21" i="5"/>
  <c r="C20" i="5"/>
  <c r="C19" i="5"/>
  <c r="C18" i="5"/>
  <c r="C17" i="5"/>
  <c r="C16" i="5"/>
  <c r="C15" i="5"/>
  <c r="C14" i="5"/>
  <c r="C24" i="5" s="1"/>
  <c r="F66" i="8" l="1"/>
  <c r="C67" i="8" s="1"/>
  <c r="F19" i="50" l="1"/>
  <c r="F20" i="50" s="1"/>
  <c r="C21" i="50" s="1"/>
</calcChain>
</file>

<file path=xl/comments1.xml><?xml version="1.0" encoding="utf-8"?>
<comments xmlns="http://schemas.openxmlformats.org/spreadsheetml/2006/main">
  <authors>
    <author>SIRIN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นศ.1คน 8 หน่วยกิต 50 %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นศ.1คน 3 หน่วยกิต 40 %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นศ.1คน 8 หน่วยกิต 50 %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นศ.1คน 8 หน่วยกิต 50 %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นศ.1คน 8 หน่วยกิต 50 %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นศ.1คน 3 หน่วยกิต 60 %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นศ.1คน 8 หน่วยกิต 50 %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นศ.1คน 8 หน่วยกิต 50 %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นศ.1คน 8 หน่วยกิต 100 %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นศ.1คน 8 หน่วยกิต 100 %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นศ.1คน 9 หน่วยกิต</t>
        </r>
        <r>
          <rPr>
            <sz val="9"/>
            <color indexed="81"/>
            <rFont val="Tahoma"/>
            <family val="2"/>
          </rPr>
          <t xml:space="preserve">
60 %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นศ.3คน 9 หน่วยกิต</t>
        </r>
        <r>
          <rPr>
            <sz val="9"/>
            <color indexed="81"/>
            <rFont val="Tahoma"/>
            <family val="2"/>
          </rPr>
          <t xml:space="preserve">
60 %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นศ.2 คน 6 หน่วยกิต</t>
        </r>
        <r>
          <rPr>
            <sz val="9"/>
            <color indexed="81"/>
            <rFont val="Tahoma"/>
            <family val="2"/>
          </rPr>
          <t xml:space="preserve">
60 %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นศ.1คน 6 หน่วยกิต</t>
        </r>
        <r>
          <rPr>
            <sz val="9"/>
            <color indexed="81"/>
            <rFont val="Tahoma"/>
            <family val="2"/>
          </rPr>
          <t xml:space="preserve">
30 %
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นศ.1 คน 6 หน่วยกิต</t>
        </r>
        <r>
          <rPr>
            <sz val="9"/>
            <color indexed="81"/>
            <rFont val="Tahoma"/>
            <family val="2"/>
          </rPr>
          <t xml:space="preserve">
30 %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นศ.1คน 6 หน่วยกิต</t>
        </r>
        <r>
          <rPr>
            <sz val="9"/>
            <color indexed="81"/>
            <rFont val="Tahoma"/>
            <family val="2"/>
          </rPr>
          <t xml:space="preserve">
20 %
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นศ.1คน 6 หน่วยกิต</t>
        </r>
        <r>
          <rPr>
            <sz val="9"/>
            <color indexed="81"/>
            <rFont val="Tahoma"/>
            <family val="2"/>
          </rPr>
          <t xml:space="preserve">
20 %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 xml:space="preserve">นศ.1คน 9 หน่วยกิต
90 %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นศ.1คน 9 หน่วยกิต</t>
        </r>
        <r>
          <rPr>
            <sz val="9"/>
            <color indexed="81"/>
            <rFont val="Tahoma"/>
            <family val="2"/>
          </rPr>
          <t xml:space="preserve">
45 %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นศ.1คน 6 หน่วยกิต</t>
        </r>
        <r>
          <rPr>
            <sz val="9"/>
            <color indexed="81"/>
            <rFont val="Tahoma"/>
            <family val="2"/>
          </rPr>
          <t xml:space="preserve">
20 %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 xml:space="preserve">นศ.1คน 6 หน่วยกิต 20 %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นศ.1คน 6 หน่วยกิต
20 %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นศ.1คน 9 หน่วยกิต</t>
        </r>
        <r>
          <rPr>
            <sz val="9"/>
            <color indexed="81"/>
            <rFont val="Tahoma"/>
            <family val="2"/>
          </rPr>
          <t xml:space="preserve">
40 %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นศ.3คน 9 หน่วยกิต</t>
        </r>
        <r>
          <rPr>
            <sz val="9"/>
            <color indexed="81"/>
            <rFont val="Tahoma"/>
            <family val="2"/>
          </rPr>
          <t xml:space="preserve">
40 %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นศ.2 คน 6 หน่วยกิต</t>
        </r>
        <r>
          <rPr>
            <sz val="9"/>
            <color indexed="81"/>
            <rFont val="Tahoma"/>
            <family val="2"/>
          </rPr>
          <t xml:space="preserve">
40 %
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นศ.1คน 6 หน่วยกิต</t>
        </r>
        <r>
          <rPr>
            <sz val="9"/>
            <color indexed="81"/>
            <rFont val="Tahoma"/>
            <family val="2"/>
          </rPr>
          <t xml:space="preserve">
50 %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นศ.1 คน 6 หน่วยกิต</t>
        </r>
        <r>
          <rPr>
            <sz val="9"/>
            <color indexed="81"/>
            <rFont val="Tahoma"/>
            <family val="2"/>
          </rPr>
          <t xml:space="preserve">
50 %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นศ.1คน 6 หน่วยกิต 40 %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นศ.1คน 15 หน่วยกิต 60 %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นศ.1คน 8 หน่วยกิต 100 %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นศ.1คน 9 หน่วยกิต
10 %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นศ.1คน 9 หน่วยกิต</t>
        </r>
        <r>
          <rPr>
            <sz val="9"/>
            <color indexed="81"/>
            <rFont val="Tahoma"/>
            <family val="2"/>
          </rPr>
          <t xml:space="preserve">
10 %
</t>
        </r>
      </text>
    </comment>
  </commentList>
</comments>
</file>

<file path=xl/comments2.xml><?xml version="1.0" encoding="utf-8"?>
<comments xmlns="http://schemas.openxmlformats.org/spreadsheetml/2006/main">
  <authors>
    <author>SIRIN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นศ.1คน 9 หน่วยกิต</t>
        </r>
        <r>
          <rPr>
            <sz val="9"/>
            <color indexed="81"/>
            <rFont val="Tahoma"/>
            <family val="2"/>
          </rPr>
          <t xml:space="preserve">
45 %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นศ.1คน 6 หน่วยกิต 60 %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นศ.1คน 8 หน่วยกิต 60 %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นศ.1คน 6  หน่วยกิต</t>
        </r>
        <r>
          <rPr>
            <sz val="9"/>
            <color indexed="81"/>
            <rFont val="Tahoma"/>
            <family val="2"/>
          </rPr>
          <t xml:space="preserve">
60 %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 xml:space="preserve">นศ.1คน 6 หน่วยกิต 60 %
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นศ.1คน 8  หน่วยกิต
60 %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นศ.1คน 6  หน่วยกิต
60 %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นศ.1คน 6  หน่วยกิต
20 %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 xml:space="preserve">นศ.1คน 6 หน่วยกิต 20 %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นศ.1คน 9 หน่วยกิต
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นศ.1คน 9 หน่วยกิต 100 %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นศ.1 คน12 หน่วยกิต  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นศ.1คน 6  หน่วยกิต
50 %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นศ.1คน 6 หน่วยกิต</t>
        </r>
        <r>
          <rPr>
            <sz val="9"/>
            <color indexed="81"/>
            <rFont val="Tahoma"/>
            <family val="2"/>
          </rPr>
          <t xml:space="preserve">
20 %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นศ.1คน 8 หน่วยกิต</t>
        </r>
        <r>
          <rPr>
            <sz val="9"/>
            <color indexed="81"/>
            <rFont val="Tahoma"/>
            <family val="2"/>
          </rPr>
          <t xml:space="preserve">
40 %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นศ.1คน 6  หน่วยกิต
50 %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 xml:space="preserve">นศ.1คน 8 หน่วยกิต 40 %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นศ.1คน 15 หน่วยกิต 40 %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Composite materials engineering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engineering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engineering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Engineering LAB II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Engineering LAB II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engineering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Composite materials engineering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engineering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Engineering LAB II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Characterization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Materials Characterization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SEM MATER ENG(MASTER PROG)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 MATER CHARAC BY ELECT MICRO/ AD MATERIALS CHARACTERIZATION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SEM MATER ENG(MASTER PROG)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SEM MATER ENG(MASTER PROG)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 MATER CHARAC BY ELECT MICRO/ AD MATERIALS CHARACTERIZATION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SEM MATER ENG(MASTER PROG)</t>
        </r>
      </text>
    </comment>
  </commentList>
</comments>
</file>

<file path=xl/sharedStrings.xml><?xml version="1.0" encoding="utf-8"?>
<sst xmlns="http://schemas.openxmlformats.org/spreadsheetml/2006/main" count="4460" uniqueCount="929">
  <si>
    <t>01</t>
  </si>
  <si>
    <t>ป</t>
  </si>
  <si>
    <t>ค</t>
  </si>
  <si>
    <t>บ</t>
  </si>
  <si>
    <t>02</t>
  </si>
  <si>
    <t>03</t>
  </si>
  <si>
    <t>ตัวอย่างการคำนวณค่าFTE ของอาจารย์</t>
  </si>
  <si>
    <t>ภาคการศึกษาที่ 1</t>
  </si>
  <si>
    <t>รายชื่ออาจารย์ที่สอน
ทั้งหมดในหลักสูตร</t>
  </si>
  <si>
    <t>จำนวนชั่วโมงที่สอน</t>
  </si>
  <si>
    <t>ค่า FTE</t>
  </si>
  <si>
    <t>1…………ก…………….</t>
  </si>
  <si>
    <t>2…………ข……………….</t>
  </si>
  <si>
    <t>3………………………….</t>
  </si>
  <si>
    <t>4………………………….</t>
  </si>
  <si>
    <t>5………………………….</t>
  </si>
  <si>
    <t>6………………………….</t>
  </si>
  <si>
    <t>7………………………….</t>
  </si>
  <si>
    <t>8………………………….</t>
  </si>
  <si>
    <t>9………………………….</t>
  </si>
  <si>
    <t>10………………………..</t>
  </si>
  <si>
    <t>รวม</t>
  </si>
  <si>
    <t>ค่า FTE ของอาจารย์ ในภาคการศึกษาที่ 1 จากตาราง =  109/(15*35) = 0.208</t>
  </si>
  <si>
    <t>สมมติค่า FTE ของอาจารย์ ในภาคการศึกษาที่ 2 = 0.40</t>
  </si>
  <si>
    <t>ดังนั้น ค่า FTE ของอาจารย์ในหลักสูตรนี้ = (0.208+0.40)/2 = 0.304</t>
  </si>
  <si>
    <t>หมายเหตุ :</t>
  </si>
  <si>
    <t>จำนวนชั่วโมงในการสอน คณะต้องมีการตกลงกันก่อนว่า วิธีการสอนแต่ละประเภท คิดชั่วโมงสอนอย่างไร</t>
  </si>
  <si>
    <t>เช่น อาจารยืสอนในห้องเรียร 1 ชั่วโมง นับ 1 ชั่วโมง</t>
  </si>
  <si>
    <t>อาจารย์คุม 1 project นับจำนวน 20 ชั่วโมง</t>
  </si>
  <si>
    <t>215-241</t>
  </si>
  <si>
    <t>ท</t>
  </si>
  <si>
    <t>237-301</t>
  </si>
  <si>
    <t>237-460</t>
  </si>
  <si>
    <t>รศ.ดร.สุธรรม  นิยมวาส</t>
  </si>
  <si>
    <t>ผศ.ดร.ธีระยุทธ  หลีวิจิตร</t>
  </si>
  <si>
    <t>215-407</t>
  </si>
  <si>
    <t>216-111</t>
  </si>
  <si>
    <t>215-001</t>
  </si>
  <si>
    <t>215-408</t>
  </si>
  <si>
    <t>215-221</t>
  </si>
  <si>
    <t>215-304</t>
  </si>
  <si>
    <t>ดร.จีระภา  สุขแก้ว</t>
  </si>
  <si>
    <t>215-434</t>
  </si>
  <si>
    <t>ดร.สมชาย  แซ่อึ้ง</t>
  </si>
  <si>
    <t>รศ.ปัญญรักษ์  งามศรีตระกูล</t>
  </si>
  <si>
    <t>215-352</t>
  </si>
  <si>
    <t>219-408</t>
  </si>
  <si>
    <t>219-302</t>
  </si>
  <si>
    <t>ดร.กิตตินันท์  มลิวรรณ</t>
  </si>
  <si>
    <t>215-274</t>
  </si>
  <si>
    <t>215-222</t>
  </si>
  <si>
    <t>215-294</t>
  </si>
  <si>
    <t>ดร.ฐานันดร์ศักดิ์  เทพญา</t>
  </si>
  <si>
    <t>215-314</t>
  </si>
  <si>
    <t>รศ.กำพล  ประทีปชัยกูร</t>
  </si>
  <si>
    <t>215-332</t>
  </si>
  <si>
    <t>รศ.ดร.พีระพงศ์  ทีฆสกุล</t>
  </si>
  <si>
    <t>ดร.มักตาร์  แวหะยี</t>
  </si>
  <si>
    <t>215-231</t>
  </si>
  <si>
    <t xml:space="preserve">ดร.มักตาร์  แวหะยี </t>
  </si>
  <si>
    <t>215-653</t>
  </si>
  <si>
    <t>215-601</t>
  </si>
  <si>
    <t>ผศ.ดร.กฤช  สมนึก</t>
  </si>
  <si>
    <t>215-411</t>
  </si>
  <si>
    <t>รศ.ดร.สุธีระ  ประเสริฐสรรพ์</t>
  </si>
  <si>
    <t>215-612</t>
  </si>
  <si>
    <t>ดร.ปรมินทร์  เณรานนท์</t>
  </si>
  <si>
    <t>219-461</t>
  </si>
  <si>
    <t>215-324</t>
  </si>
  <si>
    <t>ผศ.ดร.จันทกานต์  ทวีกุล</t>
  </si>
  <si>
    <t>215-433</t>
  </si>
  <si>
    <t>215-665</t>
  </si>
  <si>
    <t>รศ.ดร.พฤทธิกร  สมิตไมตรี</t>
  </si>
  <si>
    <t>219-407</t>
  </si>
  <si>
    <t>215-627</t>
  </si>
  <si>
    <t>รศ.ดร.วิริยะ  ทองเรือง</t>
  </si>
  <si>
    <t>237-371</t>
  </si>
  <si>
    <t>215-223</t>
  </si>
  <si>
    <t>ผศ.ดร.ชยุต  นันทดุสิต</t>
  </si>
  <si>
    <t>215-436</t>
  </si>
  <si>
    <t>215-333</t>
  </si>
  <si>
    <t>215-325</t>
  </si>
  <si>
    <t>ผศ.ดร.ภาสกร  เวสสะโกศล</t>
  </si>
  <si>
    <t>219-212</t>
  </si>
  <si>
    <t xml:space="preserve">รศ.ไพโรจน์  คีรีรัตน์ </t>
  </si>
  <si>
    <t>รศ.ดร.อุดมผล  พืชน์ไพบูลย์</t>
  </si>
  <si>
    <t>220-451</t>
  </si>
  <si>
    <t>รศ.ดร.ธนิยา  เกาศล</t>
  </si>
  <si>
    <t>ผศ.ดร.จรีรัตน์  สกุลรัตน์</t>
  </si>
  <si>
    <t>200-101</t>
  </si>
  <si>
    <t>ผศ.ดร.ธนันท์  ชุบอุปการ</t>
  </si>
  <si>
    <t>220-322</t>
  </si>
  <si>
    <t>220-323</t>
  </si>
  <si>
    <t>220-492</t>
  </si>
  <si>
    <t>220-491</t>
  </si>
  <si>
    <t>221-101</t>
  </si>
  <si>
    <t>ผศ.ดร.ปฐเมศ  ผาณิตพจมาน</t>
  </si>
  <si>
    <t>220-412</t>
  </si>
  <si>
    <t>221-491</t>
  </si>
  <si>
    <t>220-493</t>
  </si>
  <si>
    <t>220-482</t>
  </si>
  <si>
    <t>ผศ.ดร.ภาสกร  ชัยวิริยะวงศ์</t>
  </si>
  <si>
    <t>220-302</t>
  </si>
  <si>
    <t>220-102</t>
  </si>
  <si>
    <t>รศ.ดร.ธนิต  เฉลิมยานนท์</t>
  </si>
  <si>
    <t>220-324</t>
  </si>
  <si>
    <t>ผศ.ดร.ปรเมศวร์  เหลือเทพ</t>
  </si>
  <si>
    <t>220-471</t>
  </si>
  <si>
    <t>รศ.ดร.วรพจน์  ประชาเสรี</t>
  </si>
  <si>
    <t>220-414</t>
  </si>
  <si>
    <t>220-413</t>
  </si>
  <si>
    <t>ผศ.ดร.ศักดิ์ชัย  ปรีชาวีรกุล</t>
  </si>
  <si>
    <t>ผศ.พยอม  รัตนมณี</t>
  </si>
  <si>
    <t>220-343</t>
  </si>
  <si>
    <t>220-341</t>
  </si>
  <si>
    <t>รศ.ดร.สุเมธ  ไชยประพัทธ์</t>
  </si>
  <si>
    <t>ผศ.ดร.จรงค์พันธ์  มุสิกะวงศ์</t>
  </si>
  <si>
    <t>ผศ.ดร.ชัชวิน  ศรีสุวรรณ</t>
  </si>
  <si>
    <t>220-342</t>
  </si>
  <si>
    <t>รศ.ดร. สราวุธ  จริตงาม</t>
  </si>
  <si>
    <t>220-473</t>
  </si>
  <si>
    <t>ดร.รุจ  ศุภวิไล</t>
  </si>
  <si>
    <t>220-361</t>
  </si>
  <si>
    <t>220-311</t>
  </si>
  <si>
    <t>ดร.วิชัยรัตน์  แก้วเจือ</t>
  </si>
  <si>
    <t>220-486</t>
  </si>
  <si>
    <t>220-303</t>
  </si>
  <si>
    <t>ดร.วัสสา  คงนคร</t>
  </si>
  <si>
    <t>ดร.อรกมล  วังอภิสิทธิ์</t>
  </si>
  <si>
    <t>ดร.สุรางคนา  ตรังคานนท์</t>
  </si>
  <si>
    <t>220-381</t>
  </si>
  <si>
    <t>220-483</t>
  </si>
  <si>
    <t>220-481</t>
  </si>
  <si>
    <t>ดร.พงศ์อินทร์  อินทฤทธิ์</t>
  </si>
  <si>
    <t>220-261 '(01)</t>
  </si>
  <si>
    <t>220-261(01)</t>
  </si>
  <si>
    <t>220-261 '(02)</t>
  </si>
  <si>
    <t>220-362</t>
  </si>
  <si>
    <t>220-580</t>
  </si>
  <si>
    <t>ว</t>
  </si>
  <si>
    <t>220-690</t>
  </si>
  <si>
    <t>220-593</t>
  </si>
  <si>
    <t>220-562</t>
  </si>
  <si>
    <t>220-574</t>
  </si>
  <si>
    <t>220-561</t>
  </si>
  <si>
    <t>220-581</t>
  </si>
  <si>
    <t>224-421</t>
  </si>
  <si>
    <t>224-441</t>
  </si>
  <si>
    <t>224-490</t>
  </si>
  <si>
    <t>224-461</t>
  </si>
  <si>
    <t>224-463</t>
  </si>
  <si>
    <t>224-491</t>
  </si>
  <si>
    <t>224-341</t>
  </si>
  <si>
    <t>224-323</t>
  </si>
  <si>
    <t>224-331</t>
  </si>
  <si>
    <t>224-482</t>
  </si>
  <si>
    <t>224-422</t>
  </si>
  <si>
    <t>224-423</t>
  </si>
  <si>
    <t>224-322</t>
  </si>
  <si>
    <t>224-432</t>
  </si>
  <si>
    <t>224-321</t>
  </si>
  <si>
    <t>224-324</t>
  </si>
  <si>
    <t>224-213</t>
  </si>
  <si>
    <t>224-371</t>
  </si>
  <si>
    <t>223-531</t>
  </si>
  <si>
    <t>223-558</t>
  </si>
  <si>
    <t>223-551</t>
  </si>
  <si>
    <t>223-511</t>
  </si>
  <si>
    <t>223-553</t>
  </si>
  <si>
    <t>223-501</t>
  </si>
  <si>
    <t>223-502</t>
  </si>
  <si>
    <t>รศ.ดร.กุลชนาฐ ประเสริฐสิทธิ์</t>
  </si>
  <si>
    <t>231-341</t>
  </si>
  <si>
    <t>ENGINEERING LABORATORY</t>
  </si>
  <si>
    <t>231-425</t>
  </si>
  <si>
    <t>PROCESS DYNAMICS AND CONTROL</t>
  </si>
  <si>
    <t>PHYSICAL CHEMISTRY LABORATORY FOR CHEMICAL ENGINEERS</t>
  </si>
  <si>
    <t>231-444</t>
  </si>
  <si>
    <t>CHEMICAL ENGINEERING PROJECT WORK STUDY</t>
  </si>
  <si>
    <t>231-337</t>
  </si>
  <si>
    <t>ECONOMICS AND APPLICATIONS</t>
  </si>
  <si>
    <t>231-445</t>
  </si>
  <si>
    <t>231-342</t>
  </si>
  <si>
    <t>CHEMICAL ENGINEERING LABORATORY I</t>
  </si>
  <si>
    <t xml:space="preserve">231-444 </t>
  </si>
  <si>
    <t xml:space="preserve">231-445 </t>
  </si>
  <si>
    <t>CHEMICAL ENGINEERING PROJECT</t>
  </si>
  <si>
    <t>รศ.ดร.จันทิมา ชั่งสิริพร</t>
  </si>
  <si>
    <t>MATERIAL AND ENERGY BALANCES</t>
  </si>
  <si>
    <t>231-443</t>
  </si>
  <si>
    <t>CHEMICAL ENGINEERING LABORATORY II</t>
  </si>
  <si>
    <t xml:space="preserve">231-472 </t>
  </si>
  <si>
    <t>PETROCHEMICAL TECHNOLOGY</t>
  </si>
  <si>
    <t>รศ.ดร.ชญานุช แสงวิเชียร</t>
  </si>
  <si>
    <t>231-212</t>
  </si>
  <si>
    <t>THERMODYNAMICS I</t>
  </si>
  <si>
    <t>231-440</t>
  </si>
  <si>
    <t>COOPPERATIVE EDUCTION</t>
  </si>
  <si>
    <t xml:space="preserve">ส </t>
  </si>
  <si>
    <t>รศ.ดร.ชาคริต ทองอุไร</t>
  </si>
  <si>
    <t>231-311</t>
  </si>
  <si>
    <t>MOMENTUM AND HEAT TRANSFER</t>
  </si>
  <si>
    <t>231-424</t>
  </si>
  <si>
    <t>UNIT OPERATIONS II</t>
  </si>
  <si>
    <t>รศ.ดร.ผกามาศ เจษฎ์พัฒนานนท์</t>
  </si>
  <si>
    <t>231-335</t>
  </si>
  <si>
    <t>CHEMICAL ENGINEERING PROCES</t>
  </si>
  <si>
    <t xml:space="preserve">บ  </t>
  </si>
  <si>
    <t xml:space="preserve">231-333 </t>
  </si>
  <si>
    <t>ENVIRONMENTAL CONTROL</t>
  </si>
  <si>
    <t>ผศ.ดร.ราม แย้มแสงสังข์</t>
  </si>
  <si>
    <t xml:space="preserve">231-334 </t>
  </si>
  <si>
    <t>SAFETY IN CHEMICAL ENGINEERING OPERATIONS</t>
  </si>
  <si>
    <t>231-476</t>
  </si>
  <si>
    <t>TECHNICAL  ENGLISH COMMUNICATIONS</t>
  </si>
  <si>
    <t>รศ.ดร.ลือพงศ์ แก้วศรีจันทร์</t>
  </si>
  <si>
    <t>CHEMICAL ENGINEERING THERMODYNAMICS</t>
  </si>
  <si>
    <t>231-436</t>
  </si>
  <si>
    <t>COMPUTER APPLICATIONS FOR CHEMICAL ENGINEERS</t>
  </si>
  <si>
    <t>รศ.ดร.สุกฤทธิรา รัตนวิไล</t>
  </si>
  <si>
    <t>231-321</t>
  </si>
  <si>
    <t>CHEMICAL ENGINEERING KINETICS AND REACTOR DESIGN</t>
  </si>
  <si>
    <t xml:space="preserve">231-323 </t>
  </si>
  <si>
    <t>UNIT OPERATIONS I</t>
  </si>
  <si>
    <t>รศ.ดร.สุภวรรณ ฏิระวณิชย์กุล</t>
  </si>
  <si>
    <t>ผศ.ดร.พรศิริ  แก้วประดิษฐ์</t>
  </si>
  <si>
    <t>231-432</t>
  </si>
  <si>
    <t>CHEMICAL ENGINEERING PLANT DESIGN</t>
  </si>
  <si>
    <t xml:space="preserve">231-432 </t>
  </si>
  <si>
    <t>ผศ.ดร.สุรัสวดี กังสนันท์</t>
  </si>
  <si>
    <t>231-322</t>
  </si>
  <si>
    <t>PARTICLE ENGINEERING</t>
  </si>
  <si>
    <t xml:space="preserve">231-331 </t>
  </si>
  <si>
    <t>CHEMICAL ENGINEERING EQUIPMENT DESIGN</t>
  </si>
  <si>
    <t>230-600</t>
  </si>
  <si>
    <t>AD ENG MATH CHEM ENG</t>
  </si>
  <si>
    <t>ส</t>
  </si>
  <si>
    <t>230-571</t>
  </si>
  <si>
    <t>ALTERMATIVE ENERGY</t>
  </si>
  <si>
    <t>230-544</t>
  </si>
  <si>
    <t>AIR POLLUTION CONTROL TECHNOLOGY FOR GASEOUS AND PARTICULATE EMISSIONS</t>
  </si>
  <si>
    <t xml:space="preserve">230-630 </t>
  </si>
  <si>
    <t>ADVANCED TRANSPORT PHENOMENA</t>
  </si>
  <si>
    <t>230-585</t>
  </si>
  <si>
    <t>SPECIAL TOPICS IN CHEMICAL ENGINEERING I(BIODIESEL TECHNOLOGY)</t>
  </si>
  <si>
    <t xml:space="preserve">230-560 </t>
  </si>
  <si>
    <t>FOOD UNIT OPERATIONS</t>
  </si>
  <si>
    <t xml:space="preserve">230-610 </t>
  </si>
  <si>
    <t>ADVANCED CHEMICAL ENGINEERING THERMODYNAMICS</t>
  </si>
  <si>
    <t>230-543</t>
  </si>
  <si>
    <t>DRYING TECHNOLOGY</t>
  </si>
  <si>
    <t>230-572</t>
  </si>
  <si>
    <t>RENEWABLE RESOURCE AND ENERGY</t>
  </si>
  <si>
    <t>230-620</t>
  </si>
  <si>
    <t>AD CHEM ENG KINE &amp; CHEM RE DE</t>
  </si>
  <si>
    <t>230-586</t>
  </si>
  <si>
    <t>SPECIAL TOPIC IN CHEMICAL ENGINEERING II (SURFACTANT)</t>
  </si>
  <si>
    <t>ผศ.ดร.วรรณรัช  สันติอมรทัต</t>
  </si>
  <si>
    <t>242-308</t>
  </si>
  <si>
    <t>242-402</t>
  </si>
  <si>
    <t>รศ.ดร.สินชัย กมลภิวงศ์</t>
  </si>
  <si>
    <t>242-214</t>
  </si>
  <si>
    <t>242-461</t>
  </si>
  <si>
    <t>รศ.ดร.ทวีศักดิ์ เรืองพีระกุล</t>
  </si>
  <si>
    <t>ผศ.ดร.สกุณา เจริญปัญญาศักดิ์</t>
  </si>
  <si>
    <t>ผศ.ดำรงค์  เคล้าดี</t>
  </si>
  <si>
    <t>242-209</t>
  </si>
  <si>
    <t>รศ.ดร.มนตรี  กาญจนะเดชะ</t>
  </si>
  <si>
    <t>ผศ.ดร.ธเนศ เคารพาพงศ์</t>
  </si>
  <si>
    <t>241-306</t>
  </si>
  <si>
    <t>242-381</t>
  </si>
  <si>
    <t>ผศ.ดร.นิคม  สุวรรณวร</t>
  </si>
  <si>
    <t>242-207</t>
  </si>
  <si>
    <t>ผศ.ดร.พิชญา ตัณฑัยย์</t>
  </si>
  <si>
    <t>242-441</t>
  </si>
  <si>
    <t>ผศ.ดร.วชรินทร์  แก้วอภิชัย</t>
  </si>
  <si>
    <t>242-341</t>
  </si>
  <si>
    <t>ผศ.ดร.สุนทร วิทูสุรพจน์</t>
  </si>
  <si>
    <t>242-321</t>
  </si>
  <si>
    <t>242-428</t>
  </si>
  <si>
    <t>ผศ.ดร.เพ็ชรัตน์ สุริยะไชย</t>
  </si>
  <si>
    <t>242-361</t>
  </si>
  <si>
    <t>ผศ.ดร.แสงสุรีย์ วสุพงศ์อัยยะ</t>
  </si>
  <si>
    <t>242-312</t>
  </si>
  <si>
    <t>รศ.ทศพร กมลภิวงศ์</t>
  </si>
  <si>
    <t>241-213</t>
  </si>
  <si>
    <t>242-212</t>
  </si>
  <si>
    <t>ดร.Andrew Davison</t>
  </si>
  <si>
    <t>ดร.สมชัย หลิมศิโรรัตน์</t>
  </si>
  <si>
    <t>ดร.อนันท์ ชกสุริวงค์</t>
  </si>
  <si>
    <t>242-481</t>
  </si>
  <si>
    <t>ดร.อารีย์ ธีรภาพเสรี</t>
  </si>
  <si>
    <t>ดร.ไพจิตร กชกรจารุพงศ์</t>
  </si>
  <si>
    <t>242-421</t>
  </si>
  <si>
    <t>242-425</t>
  </si>
  <si>
    <t>242-462</t>
  </si>
  <si>
    <t>อ.วรพรต ชูกำเนิด</t>
  </si>
  <si>
    <t>242-210</t>
  </si>
  <si>
    <t>อ.เสกสรรค์ สุวรรณมณี</t>
  </si>
  <si>
    <t>242-673</t>
  </si>
  <si>
    <t>242-677</t>
  </si>
  <si>
    <t>242-703</t>
  </si>
  <si>
    <t>ผศ.เจริญ  เจตวิจิตร</t>
  </si>
  <si>
    <t>227-321</t>
  </si>
  <si>
    <t>227-461</t>
  </si>
  <si>
    <t>ผศ.ดร.นภิสพร  มีมงคล</t>
  </si>
  <si>
    <t>รศ.ดร.เสกสรร  สุธรรมานนท์</t>
  </si>
  <si>
    <t>รศ.วนิดา รัตนมณี</t>
  </si>
  <si>
    <t>ผศ.ดร.องุ่น สังขพงศ์</t>
  </si>
  <si>
    <t>รศ.สมชาย  ชูโฉม</t>
  </si>
  <si>
    <t>ผศ.ดร.สุภาพรรณ ไชยประพัทธ์</t>
  </si>
  <si>
    <t>รศ.ดร.ธเนศ รัตนวิไล</t>
  </si>
  <si>
    <t>ผศ.ดร.กลางเดือน  โพชนา</t>
  </si>
  <si>
    <t>รศ.ดร.นิกร ศิริวงศ์ไพศาล</t>
  </si>
  <si>
    <t>227-331</t>
  </si>
  <si>
    <t>ผศ.ดร.รัญชนา  สินธวาลัย</t>
  </si>
  <si>
    <t>ผศ.พิเชฐ  ตระการชัยศิริ</t>
  </si>
  <si>
    <t>ดร.วนัฐฌพงษ์  คงแก้ว</t>
  </si>
  <si>
    <t>229-365</t>
  </si>
  <si>
    <t>227-505</t>
  </si>
  <si>
    <t>จำนวนหน่วยชั่วโมงต่อภาคการศึกษา</t>
  </si>
  <si>
    <t>FTE ต่อภาคการศึกษา</t>
  </si>
  <si>
    <t>FTE</t>
  </si>
  <si>
    <t>อ.ศรัทธา  ศรีวรเดชไพศาล</t>
  </si>
  <si>
    <t>อ.ชลิตา  หิรัญสุข</t>
  </si>
  <si>
    <t>อ.ประกิต  หงษ์หิรัญเรือง</t>
  </si>
  <si>
    <t>อ.ศิวศิษย์  วิทยศิลป์</t>
  </si>
  <si>
    <t>ดร. Andrew Davison</t>
  </si>
  <si>
    <t>ผศ.ดร.ประภาศ เมืองจันทร์บุรี</t>
  </si>
  <si>
    <t>215-313</t>
  </si>
  <si>
    <t>ผศ.ดร.มนูญ    มาศนิยม</t>
  </si>
  <si>
    <t>235-480</t>
  </si>
  <si>
    <t>235-300</t>
  </si>
  <si>
    <t>235-320</t>
  </si>
  <si>
    <t>237-341</t>
  </si>
  <si>
    <t>235-370</t>
  </si>
  <si>
    <t>237-370</t>
  </si>
  <si>
    <t>ผศ.ดร.วิษณุ      ราชเพ็ชร</t>
  </si>
  <si>
    <t>235-303</t>
  </si>
  <si>
    <t>237-201</t>
  </si>
  <si>
    <t>235-330</t>
  </si>
  <si>
    <t>237-405</t>
  </si>
  <si>
    <t>237-407</t>
  </si>
  <si>
    <t>รศ.ดร.ดนุพล ตันนโยภาส</t>
  </si>
  <si>
    <t>235-402</t>
  </si>
  <si>
    <t>237-480</t>
  </si>
  <si>
    <t>235-200</t>
  </si>
  <si>
    <t>235-400</t>
  </si>
  <si>
    <t>รศ.กัลยาณี      คุปตานนท์</t>
  </si>
  <si>
    <t>ดร.มัทนา ฆังคะมโณ</t>
  </si>
  <si>
    <t>ดร.สมใจ จันทร์อุดม</t>
  </si>
  <si>
    <t>237-322</t>
  </si>
  <si>
    <t>237-380</t>
  </si>
  <si>
    <t>ดร.พงศ์พัฒน์ สนทะมิโน</t>
  </si>
  <si>
    <t>235-440</t>
  </si>
  <si>
    <t>วัสดุ</t>
  </si>
  <si>
    <t>235-555</t>
  </si>
  <si>
    <t>235-501</t>
  </si>
  <si>
    <t>238-680</t>
  </si>
  <si>
    <t>238-780</t>
  </si>
  <si>
    <t>238-508</t>
  </si>
  <si>
    <t>238-502</t>
  </si>
  <si>
    <t>235-551</t>
  </si>
  <si>
    <t>242-320</t>
  </si>
  <si>
    <t>242-380</t>
  </si>
  <si>
    <t>242-340</t>
  </si>
  <si>
    <t>242-440</t>
  </si>
  <si>
    <t>242-420</t>
  </si>
  <si>
    <t>242-304</t>
  </si>
  <si>
    <t>242-360</t>
  </si>
  <si>
    <t>242-206</t>
  </si>
  <si>
    <t>รศ.ดร.เกริกชัย  ทองหนู</t>
  </si>
  <si>
    <t>245-694</t>
  </si>
  <si>
    <t>245-693</t>
  </si>
  <si>
    <t>รศ.ดร.ทวีศักดิ์  เรืองพีระกุล</t>
  </si>
  <si>
    <t>รศ.ดร.มนตรี  กาญจนเดชะ</t>
  </si>
  <si>
    <t>ผศ.ดร.วัชรวลี  ตั้งคุปตานนท์</t>
  </si>
  <si>
    <t>245-541</t>
  </si>
  <si>
    <t>245-511</t>
  </si>
  <si>
    <t>245-581</t>
  </si>
  <si>
    <t>245-533</t>
  </si>
  <si>
    <t>245-691</t>
  </si>
  <si>
    <t>ผศ.ดร.แสงสุรีย์  วสุพงศ์อัยยะ</t>
  </si>
  <si>
    <t>245-531</t>
  </si>
  <si>
    <t>รศ.ดร.มิตรชัย  จงเชี่ยวชำนาญ</t>
  </si>
  <si>
    <t>ผศ.ดร.สุนทร  วิทูสุรพจน์</t>
  </si>
  <si>
    <t>245-591</t>
  </si>
  <si>
    <t>ผศ.ดร.เพ็ชรัตน์  สุริยะไชย</t>
  </si>
  <si>
    <t>245-681</t>
  </si>
  <si>
    <t>245-592</t>
  </si>
  <si>
    <t>ผศ.ดร.พิชญา  ตัณฑัยย์</t>
  </si>
  <si>
    <t>ผศ.ดร.วิภาดา  เวทย์ประสิทธิ์</t>
  </si>
  <si>
    <t>ผศ.เถกิง  วงศ์ศิริโชติ</t>
  </si>
  <si>
    <t>ผศ.ดร.ดุจดาว บูรณะพาณิชย์กิจ</t>
  </si>
  <si>
    <t>รศ.ดร.ทิพวรรณ เลียบสื่อตระกูล</t>
  </si>
  <si>
    <t>ดร.สูรีนา  มะตาหยง</t>
  </si>
  <si>
    <t>ดร.สมชัย  หลิมศิโรรัตน์</t>
  </si>
  <si>
    <t>ดร.ณัฐธิดา  สุวรรณโณ</t>
  </si>
  <si>
    <t>ดร.อนันท์  ชกสุริวงค์</t>
  </si>
  <si>
    <t>ดร.ปัญญยศ  ไชยกาฬ</t>
  </si>
  <si>
    <t>รศ. ดร.ศุภโชค วิริยโกศล</t>
  </si>
  <si>
    <t>228-511</t>
  </si>
  <si>
    <t>228-513</t>
  </si>
  <si>
    <t>ผศ.สงวน ตั้งโพธิธรรม</t>
  </si>
  <si>
    <t>228-512</t>
  </si>
  <si>
    <t>ผศ.ดร.จรีรัตน์ สกุลรัตน์</t>
  </si>
  <si>
    <t>228-611</t>
  </si>
  <si>
    <t>รศ.ดร.สุเมธ ไชยประพัทธ์</t>
  </si>
  <si>
    <t>รศ.ดร.เสกสรร สุธรรมานนท์</t>
  </si>
  <si>
    <t>228-612</t>
  </si>
  <si>
    <t>228-692</t>
  </si>
  <si>
    <t>ผศ.ดร.รัญชนา สินธวาลัย</t>
  </si>
  <si>
    <t>รศ.สมชาย ชูโฉม</t>
  </si>
  <si>
    <t>ผศ.ดร.กลางเดือน โพชนา</t>
  </si>
  <si>
    <t>228-521</t>
  </si>
  <si>
    <t>ผศ.ดร.นภิสพร มีมงคล</t>
  </si>
  <si>
    <t xml:space="preserve">อจ.ชลทิชา จำรัสพร </t>
  </si>
  <si>
    <t>ดร.วัสสา คงนคร</t>
  </si>
  <si>
    <t>อจ.ประภาพร แสงกาญจนวนิช</t>
  </si>
  <si>
    <t>ดร.ธนาวุธ แสงกาศนีย์</t>
  </si>
  <si>
    <t>อจ.พเนิน อินทะระ</t>
  </si>
  <si>
    <t>228-514</t>
  </si>
  <si>
    <t>อจ.พรทิพย์ จิระธำรง</t>
  </si>
  <si>
    <t>รศ.ดร.ณัฎฐา จินดาเพ็ชร์</t>
  </si>
  <si>
    <t>212-401</t>
  </si>
  <si>
    <t>212-203</t>
  </si>
  <si>
    <t>212-407</t>
  </si>
  <si>
    <t>212-402</t>
  </si>
  <si>
    <t>212-408</t>
  </si>
  <si>
    <t>ผศ.ดร.กุสุมาลย์  เฉลิมยานนท์</t>
  </si>
  <si>
    <t>211-433</t>
  </si>
  <si>
    <t>212-423</t>
  </si>
  <si>
    <t>212-333</t>
  </si>
  <si>
    <t>212-202</t>
  </si>
  <si>
    <t>212-304</t>
  </si>
  <si>
    <t>212-001</t>
  </si>
  <si>
    <t>212-391</t>
  </si>
  <si>
    <t>212-301</t>
  </si>
  <si>
    <t>212-305</t>
  </si>
  <si>
    <t>รศ.คณดิถ เจษฎ์พัฒนานนท์</t>
  </si>
  <si>
    <t>212-343</t>
  </si>
  <si>
    <t>219-301</t>
  </si>
  <si>
    <t>211-211</t>
  </si>
  <si>
    <t>212-392</t>
  </si>
  <si>
    <t>212-302</t>
  </si>
  <si>
    <t>รศ.บุญเจริญ วงศ์กิตติศึกษา</t>
  </si>
  <si>
    <t>211-231</t>
  </si>
  <si>
    <t>รศ.ดร.พรชัย  พฤกษ์ภัทรานนต์</t>
  </si>
  <si>
    <t>รศ.ดร.ภาณุมาส  คำสัตย์</t>
  </si>
  <si>
    <t>212-331</t>
  </si>
  <si>
    <t>212-332</t>
  </si>
  <si>
    <t>212-435</t>
  </si>
  <si>
    <t>212-307</t>
  </si>
  <si>
    <t>รศ.ดร.มิตรชัย จงเชี่ยวชำนาญ</t>
  </si>
  <si>
    <t>212-352</t>
  </si>
  <si>
    <t>ผศ.ดร.วิกลม ธีรภาพขจรเดช</t>
  </si>
  <si>
    <t>212-381</t>
  </si>
  <si>
    <t>212-483</t>
  </si>
  <si>
    <t>212-484</t>
  </si>
  <si>
    <t>ผศ.สมพัฒน์ รุ่งตะวันเรืองศรี</t>
  </si>
  <si>
    <t>212-493</t>
  </si>
  <si>
    <t>212-211</t>
  </si>
  <si>
    <t>ผศ.สาวิตร์ ตัณฑนุช</t>
  </si>
  <si>
    <t>212-204</t>
  </si>
  <si>
    <t>ผศ.สุนทร ปิยรัตนวงศ์</t>
  </si>
  <si>
    <t>212-471</t>
  </si>
  <si>
    <t>212-212</t>
  </si>
  <si>
    <t>212-472</t>
  </si>
  <si>
    <t>ผศ.สุระพล เธียรมนตรี</t>
  </si>
  <si>
    <t>212-475</t>
  </si>
  <si>
    <t>212-281</t>
  </si>
  <si>
    <t>212-476</t>
  </si>
  <si>
    <t>ผศ.อนุวัตร ประเสริฐสิทธิ์</t>
  </si>
  <si>
    <t>211-221</t>
  </si>
  <si>
    <t>212-221</t>
  </si>
  <si>
    <t>212-342</t>
  </si>
  <si>
    <t>ดร.วฤทธิ์ วิชกูล</t>
  </si>
  <si>
    <t>ดร.กิตติคุณ  ทองพูล</t>
  </si>
  <si>
    <t>211-232</t>
  </si>
  <si>
    <t>ดร.ไพโรจน์ วุ่นชุม</t>
  </si>
  <si>
    <t>212-251</t>
  </si>
  <si>
    <t>212-465</t>
  </si>
  <si>
    <t>212-466</t>
  </si>
  <si>
    <t>212-467</t>
  </si>
  <si>
    <t>ดร.มงคล  แซ่เจีย</t>
  </si>
  <si>
    <t>212-474</t>
  </si>
  <si>
    <t>211-341</t>
  </si>
  <si>
    <t>212-371</t>
  </si>
  <si>
    <t>212-462</t>
  </si>
  <si>
    <t>212-464</t>
  </si>
  <si>
    <t>ดร.เกียรติศักดิ์  วงษ์โสพนากุล</t>
  </si>
  <si>
    <t>212-292</t>
  </si>
  <si>
    <t>212-442</t>
  </si>
  <si>
    <t>ดร.มณเทพ เกียรติวีระสกุล</t>
  </si>
  <si>
    <t>212-361</t>
  </si>
  <si>
    <t>ดร.รักกฤตว์ ดวงสร้อยทอง</t>
  </si>
  <si>
    <t>212-431</t>
  </si>
  <si>
    <t>212-532</t>
  </si>
  <si>
    <t>212-708,212-709</t>
  </si>
  <si>
    <t>212-651</t>
  </si>
  <si>
    <t>212-650</t>
  </si>
  <si>
    <t>212-550</t>
  </si>
  <si>
    <t>212-530</t>
  </si>
  <si>
    <t>212-559</t>
  </si>
  <si>
    <t>212-538</t>
  </si>
  <si>
    <t>212-533</t>
  </si>
  <si>
    <t>212-543</t>
  </si>
  <si>
    <t>213-301</t>
  </si>
  <si>
    <t>213-461</t>
  </si>
  <si>
    <t>213-302</t>
  </si>
  <si>
    <t>213-371</t>
  </si>
  <si>
    <t>213-380</t>
  </si>
  <si>
    <t>ภาค 1/2560</t>
  </si>
  <si>
    <t>ภาค 2/2560</t>
  </si>
  <si>
    <t>230-500</t>
  </si>
  <si>
    <t>RESEARCH METHODOLOGIES</t>
  </si>
  <si>
    <t>230-201</t>
  </si>
  <si>
    <t>230-212</t>
  </si>
  <si>
    <t>230-691, 230-692, 230-693</t>
  </si>
  <si>
    <t>COLLOQUIUM IN CHEMICAL ENGINEERING,SEMINAR IN CHEMICAL ENGINEERING I,SEMINAR IN CHEMICAL ENGINEERING II</t>
  </si>
  <si>
    <t>230-205</t>
  </si>
  <si>
    <t>CHEMICAL ENGINEERING PROCESS</t>
  </si>
  <si>
    <t>ผศ.ดร.สินินาฏ จงคง</t>
  </si>
  <si>
    <t>SPECIAL TOPICS IN CHEMICAL ENGINEERING I (ETHANOL FUEL)</t>
  </si>
  <si>
    <t>230-453</t>
  </si>
  <si>
    <t>CHEMICAL ENGINEERING PROCESS SIMULATION</t>
  </si>
  <si>
    <t>230-207</t>
  </si>
  <si>
    <t>230-244</t>
  </si>
  <si>
    <t>230-691 230-692</t>
  </si>
  <si>
    <t>COLLOQUIUM IN CHEMICAL ENGINEERING,SEMINAR IN CHEMICAL ENGINEERING II</t>
  </si>
  <si>
    <t>230-520</t>
  </si>
  <si>
    <t>CATALYST</t>
  </si>
  <si>
    <t>230-691 230-693</t>
  </si>
  <si>
    <t xml:space="preserve">230-213 </t>
  </si>
  <si>
    <t xml:space="preserve">230-244 </t>
  </si>
  <si>
    <t>ดร.ทรงธรรม โพธิ์ถาวร</t>
  </si>
  <si>
    <t>ดร.ระชา เดชชาญชัยวงศ์</t>
  </si>
  <si>
    <t>230-211</t>
  </si>
  <si>
    <t>FLUID FLOW</t>
  </si>
  <si>
    <t>242-301 (01-02)</t>
  </si>
  <si>
    <t>242-401 (2คน)</t>
  </si>
  <si>
    <t>242-460</t>
  </si>
  <si>
    <t>240-208 (01-02)</t>
  </si>
  <si>
    <t>240-701</t>
  </si>
  <si>
    <t>240-101 (06-07)</t>
  </si>
  <si>
    <t>241-401 (1คน)</t>
  </si>
  <si>
    <t>242-401 (3คน)</t>
  </si>
  <si>
    <t>240-205 (01)</t>
  </si>
  <si>
    <t>242-205 (01)</t>
  </si>
  <si>
    <t>240-202 (01-03)</t>
  </si>
  <si>
    <t>242-401 (4คน)</t>
  </si>
  <si>
    <t>240-215 (01-02)</t>
  </si>
  <si>
    <t>242-402 (1คน)</t>
  </si>
  <si>
    <t>240-205 (02)</t>
  </si>
  <si>
    <t>241-401 (2คน)</t>
  </si>
  <si>
    <t>242-671</t>
  </si>
  <si>
    <t>240-101 (01-02)</t>
  </si>
  <si>
    <t>240-201 (01-03)</t>
  </si>
  <si>
    <t>242-486</t>
  </si>
  <si>
    <t>242-303 (02)</t>
  </si>
  <si>
    <t>240-500</t>
  </si>
  <si>
    <t>240-539</t>
  </si>
  <si>
    <t>242-307 (01)</t>
  </si>
  <si>
    <t>242-484</t>
  </si>
  <si>
    <t xml:space="preserve"> 240-201 (01-03)</t>
  </si>
  <si>
    <t>242-401 (5คน)</t>
  </si>
  <si>
    <t>242-511</t>
  </si>
  <si>
    <t>242-306 (01-02)</t>
  </si>
  <si>
    <t>242-401 (1คน)</t>
  </si>
  <si>
    <t>ผศ.ดร.ปัญญยศ ไชยกาฬ</t>
  </si>
  <si>
    <t>240-208 (03)</t>
  </si>
  <si>
    <t>241-307</t>
  </si>
  <si>
    <t>242-307 (02)</t>
  </si>
  <si>
    <t>242-447</t>
  </si>
  <si>
    <t>242-201 (01-03)</t>
  </si>
  <si>
    <t>241-402 (1คน)</t>
  </si>
  <si>
    <t>242-480</t>
  </si>
  <si>
    <t>242-676</t>
  </si>
  <si>
    <t>242-703 (01)</t>
  </si>
  <si>
    <t>240-101 (03-05)</t>
  </si>
  <si>
    <t>242-303 (01)</t>
  </si>
  <si>
    <t>242-305 (01-02)</t>
  </si>
  <si>
    <t>240-205 (03)</t>
  </si>
  <si>
    <t>ผศ.ธัชชัย เอ้งฉ้วน</t>
  </si>
  <si>
    <t>240-206 (01-02)</t>
  </si>
  <si>
    <t>240-101 (08-09)</t>
  </si>
  <si>
    <t>ผศ.สุธน แซ่ว่อง</t>
  </si>
  <si>
    <t>240-207 (01-02)</t>
  </si>
  <si>
    <t xml:space="preserve">240-207 (01-02) </t>
  </si>
  <si>
    <t>242-438</t>
  </si>
  <si>
    <t>242-101 (01-03)</t>
  </si>
  <si>
    <t>ดร.ธนาธิป  ลิ่มนา</t>
  </si>
  <si>
    <t>242-458</t>
  </si>
  <si>
    <t>240-214</t>
  </si>
  <si>
    <t>242-308 (1คน)</t>
  </si>
  <si>
    <t>240-101 (04)</t>
  </si>
  <si>
    <t>240-204 (01-02)</t>
  </si>
  <si>
    <t>242-308 (3คน)</t>
  </si>
  <si>
    <t>242-309 (01)</t>
  </si>
  <si>
    <t>242-402 (2คน)</t>
  </si>
  <si>
    <t>242-701</t>
  </si>
  <si>
    <t>242-302 (01-02)</t>
  </si>
  <si>
    <t>241-205</t>
  </si>
  <si>
    <t>240-209 (01)</t>
  </si>
  <si>
    <t>242-308 (4คน)</t>
  </si>
  <si>
    <t>242-402 (4คน)</t>
  </si>
  <si>
    <t>240-209 (02)</t>
  </si>
  <si>
    <t>242-402 (3คน)</t>
  </si>
  <si>
    <t>240-203 (01-02)</t>
  </si>
  <si>
    <t>240-207</t>
  </si>
  <si>
    <t>242-101 (01)</t>
  </si>
  <si>
    <t>242-402 (8คน)</t>
  </si>
  <si>
    <t>242-308 (2คน)</t>
  </si>
  <si>
    <t>242-402 (5คน)</t>
  </si>
  <si>
    <t>240-101 (03)</t>
  </si>
  <si>
    <t>240-213 , 242-213</t>
  </si>
  <si>
    <t>240-702 (01)</t>
  </si>
  <si>
    <t>242-309 (02)</t>
  </si>
  <si>
    <t>242-449</t>
  </si>
  <si>
    <t>242-548</t>
  </si>
  <si>
    <t>240-211 (01-02)</t>
  </si>
  <si>
    <t>242-402 (6คน)</t>
  </si>
  <si>
    <t>242-589</t>
  </si>
  <si>
    <t>240-101 (02,05,08)</t>
  </si>
  <si>
    <t>240-212 (01-02)</t>
  </si>
  <si>
    <t>240-101 (01)</t>
  </si>
  <si>
    <t>242-203  (01-02)</t>
  </si>
  <si>
    <t>242-210 (01-02)</t>
  </si>
  <si>
    <t>242-311 (01-02)</t>
  </si>
  <si>
    <t>240-101 (02)</t>
  </si>
  <si>
    <t>242-101 (02)</t>
  </si>
  <si>
    <t>242-310 (01-02)</t>
  </si>
  <si>
    <t xml:space="preserve">240-210 </t>
  </si>
  <si>
    <t>SPECIAL TOPICS IN CHEMICAL ENGINEERING I (BIODIESEL TECHNOLOGY)</t>
  </si>
  <si>
    <t>220-201/221-201</t>
  </si>
  <si>
    <t>223-301</t>
  </si>
  <si>
    <t xml:space="preserve">ดร.พงศ์อินทร์  อินทฤทธิ์ </t>
  </si>
  <si>
    <t>220-401</t>
  </si>
  <si>
    <t>ศ.ดร.สุชาติ  ลิ่มกตัญญู</t>
  </si>
  <si>
    <t>ผศ.สิทธิชัย  พิริยคุณธร</t>
  </si>
  <si>
    <t>223-490</t>
  </si>
  <si>
    <t>220-495</t>
  </si>
  <si>
    <t>223-202/224-211</t>
  </si>
  <si>
    <t>223-651</t>
  </si>
  <si>
    <t>223-541</t>
  </si>
  <si>
    <t>223-522</t>
  </si>
  <si>
    <t>220-102/221-101</t>
  </si>
  <si>
    <t>220-202/221-202</t>
  </si>
  <si>
    <t>221-241</t>
  </si>
  <si>
    <t>221-242</t>
  </si>
  <si>
    <t>220-241/221-251</t>
  </si>
  <si>
    <t>221-231</t>
  </si>
  <si>
    <t>224-558</t>
  </si>
  <si>
    <t>220-472</t>
  </si>
  <si>
    <t>220-563</t>
  </si>
  <si>
    <t>220-567</t>
  </si>
  <si>
    <t>223-001/224-001</t>
  </si>
  <si>
    <t>223-202/224-212</t>
  </si>
  <si>
    <t>223-504</t>
  </si>
  <si>
    <t>223-001</t>
  </si>
  <si>
    <t>ดร.สุธาทิพย์  สินยัง</t>
  </si>
  <si>
    <t>223-652</t>
  </si>
  <si>
    <t>225-251</t>
  </si>
  <si>
    <t>216-221</t>
  </si>
  <si>
    <t>215-406</t>
  </si>
  <si>
    <t>รศ.ดร.เจริญยุทธ  เดชวายุกุล</t>
  </si>
  <si>
    <t>216-222 (02)</t>
  </si>
  <si>
    <t>บ.</t>
  </si>
  <si>
    <t>ค.</t>
  </si>
  <si>
    <t>215-613</t>
  </si>
  <si>
    <t>ป.</t>
  </si>
  <si>
    <t>216-111 (01)</t>
  </si>
  <si>
    <t>216-241</t>
  </si>
  <si>
    <t>216(5)-241</t>
  </si>
  <si>
    <t>216-111 (03)</t>
  </si>
  <si>
    <t>216-001</t>
  </si>
  <si>
    <t>216-274</t>
  </si>
  <si>
    <t>216-221 (01)</t>
  </si>
  <si>
    <t>215-325 (01)</t>
  </si>
  <si>
    <t>215-325 (02)</t>
  </si>
  <si>
    <t>216-212</t>
  </si>
  <si>
    <t>215-663</t>
  </si>
  <si>
    <t>215-314 (01)</t>
  </si>
  <si>
    <t>215-605</t>
  </si>
  <si>
    <t>216-231</t>
  </si>
  <si>
    <t>216-222</t>
  </si>
  <si>
    <t>226-211 Manufacturing Processes (01)</t>
  </si>
  <si>
    <t>226-211 Manufacturing Processes (02)</t>
  </si>
  <si>
    <t>226-215 Basic Manufacturing Processes (01-03)</t>
  </si>
  <si>
    <t>226-215 Basic Manufacturing Processes (04-06)</t>
  </si>
  <si>
    <t>226-212 Manufacturing Processes Lab I (03)</t>
  </si>
  <si>
    <t>226-215 Basic Manufacturing Processes (01)</t>
  </si>
  <si>
    <t>229-461 Manufacturing Engineering Project I</t>
  </si>
  <si>
    <t>อ.สิริรัตน์ สุวัชรชัยติวงศ์</t>
  </si>
  <si>
    <t xml:space="preserve">227-341Engineering Economy </t>
  </si>
  <si>
    <t xml:space="preserve">227-463 Business management for Engineering </t>
  </si>
  <si>
    <t xml:space="preserve">227-461 Industrial Engineering Project I   </t>
  </si>
  <si>
    <t>229-461Manufacturing Engineering Project I</t>
  </si>
  <si>
    <t>225-251 Engineering Statistics I (01)</t>
  </si>
  <si>
    <t xml:space="preserve">227-351Production Planning &amp; Control </t>
  </si>
  <si>
    <t>227-354 Production and Operations Management</t>
  </si>
  <si>
    <t>227-468 Cooperative Education</t>
  </si>
  <si>
    <t>สห</t>
  </si>
  <si>
    <t>226-212 Manufacturing Processes Lab I (02)</t>
  </si>
  <si>
    <t>229-215 Manufacturing Processes Lab II</t>
  </si>
  <si>
    <t>229-001Co-curriculum Activities</t>
  </si>
  <si>
    <t>229-464 Cooperative Education</t>
  </si>
  <si>
    <t>227-431 Quality Improvement</t>
  </si>
  <si>
    <t>227-541</t>
  </si>
  <si>
    <t>225-251 Engineering Statistics I (03)</t>
  </si>
  <si>
    <t>229-216 Manufacturing Technology Lab</t>
  </si>
  <si>
    <t>225-251 Engineering Statistics I</t>
  </si>
  <si>
    <t>229-451 Maintenance Engineering</t>
  </si>
  <si>
    <t xml:space="preserve">226-215 Basic Manufacturing Processes </t>
  </si>
  <si>
    <t xml:space="preserve">229-321 Work Improvement Lab </t>
  </si>
  <si>
    <t>229-362 Computer Aided Design and Manufacturing</t>
  </si>
  <si>
    <t>226-215 Basic Manufacturing Processes</t>
  </si>
  <si>
    <t>225-501Research Methodology</t>
  </si>
  <si>
    <t>225-573 Seminar</t>
  </si>
  <si>
    <t>229-312 Machining Technology</t>
  </si>
  <si>
    <t>229-2161Manufacturing Technology Lab</t>
  </si>
  <si>
    <t>227-465 Engineering Applications for Industrial Engineers II</t>
  </si>
  <si>
    <t>229-215 Manufacturing Technology</t>
  </si>
  <si>
    <t xml:space="preserve">229-361 Machine Design </t>
  </si>
  <si>
    <t>229-365 Computer Aided Manufacturing Lab</t>
  </si>
  <si>
    <t xml:space="preserve">227-352 Operations Research </t>
  </si>
  <si>
    <t xml:space="preserve">227-534 Computer Simulation and Optimization </t>
  </si>
  <si>
    <t>225-501 Computer Simulation</t>
  </si>
  <si>
    <t>227-466 Industrial Psychology</t>
  </si>
  <si>
    <t>229-311 Welding and Assembly Technology (01-02)</t>
  </si>
  <si>
    <t>229-462 Manufacturing Engineering Project II</t>
  </si>
  <si>
    <t>227-251</t>
  </si>
  <si>
    <t>227-221 Safety  and  Environmental Engineering</t>
  </si>
  <si>
    <t>227-353 Industrial Plant Design (01-02)</t>
  </si>
  <si>
    <t>227-364 ,229-364 Pre-cooperative Education</t>
  </si>
  <si>
    <t xml:space="preserve">227-462 Industrial Engineering Project II   </t>
  </si>
  <si>
    <t>229-322 Material Handling Systems</t>
  </si>
  <si>
    <t>229-462Manufacturing Engineering Project II</t>
  </si>
  <si>
    <t>227-331 Quality Control (01-02)</t>
  </si>
  <si>
    <t>227-354 Production and Operation Management(01-02)</t>
  </si>
  <si>
    <t xml:space="preserve">227-467 Enterpreneurship </t>
  </si>
  <si>
    <t>227-362 Engineering Applications for Industrial Eng</t>
  </si>
  <si>
    <t xml:space="preserve">227-462 Industrial Engineering Project I   </t>
  </si>
  <si>
    <t>225-504 Quantitative Analysis in Logistics and Supply Chain Eng</t>
  </si>
  <si>
    <t>227-506 Research Methodology II</t>
  </si>
  <si>
    <t xml:space="preserve">227-252 Engineering Statistics II </t>
  </si>
  <si>
    <t>227-001 Co-curriculum Activities</t>
  </si>
  <si>
    <t>225-502 Experimental Design</t>
  </si>
  <si>
    <t>225-501 Research Methodology</t>
  </si>
  <si>
    <t>227-505 Research Methodology I</t>
  </si>
  <si>
    <t>227-541 Shipping Business</t>
  </si>
  <si>
    <t>225-530 Human Factors in Systems Design</t>
  </si>
  <si>
    <t>227-362 Engineering Applications for Industrial Engineers I</t>
  </si>
  <si>
    <t>223-558 Research Methodology in Environmental</t>
  </si>
  <si>
    <t>227-354 Production and Operation Management</t>
  </si>
  <si>
    <t>225-251 Engineering Statistics I (02)</t>
  </si>
  <si>
    <t>226-214 Manufacturing Processes Lab II (04)</t>
  </si>
  <si>
    <t>226-214 Manufacturing Processes Lab II (05)</t>
  </si>
  <si>
    <t>227-341 Engineering Economy</t>
  </si>
  <si>
    <t>227-462 Industrial Engineering Project II</t>
  </si>
  <si>
    <t>229-313 Industrial Automatic Control</t>
  </si>
  <si>
    <t xml:space="preserve">227-321Industrial Work Study </t>
  </si>
  <si>
    <t>227-322 Industrial Work Study Laboratory (01-03)</t>
  </si>
  <si>
    <t xml:space="preserve">229-315 Modern Technology for Manufacturing </t>
  </si>
  <si>
    <t>226-261 Computer Technology for Design Lab</t>
  </si>
  <si>
    <t>226-214  Manufacturing Processes Lab II (01)</t>
  </si>
  <si>
    <t>226-214  Manufacturing Processes Lab II (02)</t>
  </si>
  <si>
    <t>229-316 Modern Technology for Manufacturing Lab(01-03)</t>
  </si>
  <si>
    <t xml:space="preserve">227-432 Industrial Cost Analysis and Management </t>
  </si>
  <si>
    <t>227-501Logistics and Supply Chain Management</t>
  </si>
  <si>
    <t xml:space="preserve">229-463 Professional Development </t>
  </si>
  <si>
    <t xml:space="preserve">229-217 Machine Tools Engineering </t>
  </si>
  <si>
    <t>อจ.ศิวศิษย์  วิทยศิลป์</t>
  </si>
  <si>
    <t>อจ.สุริยา  จิรสถิตสิน</t>
  </si>
  <si>
    <t>225-741 Intellignt Industrial Systems</t>
  </si>
  <si>
    <t>226-214 Manufacturing Processes Lab II (03)</t>
  </si>
  <si>
    <t>227-251 Engineering Statistics I (01)</t>
  </si>
  <si>
    <t>210-362</t>
  </si>
  <si>
    <t>210-293</t>
  </si>
  <si>
    <t>อจ.ภาคภูมิ หอยิ่งเจริญ</t>
  </si>
  <si>
    <t>212-539</t>
  </si>
  <si>
    <t>210-402</t>
  </si>
  <si>
    <t>210-251</t>
  </si>
  <si>
    <t>223-423</t>
  </si>
  <si>
    <t>223-491</t>
  </si>
  <si>
    <t>อจ.พลสิทธิ์  ศานติประพันธ์</t>
  </si>
  <si>
    <t>ส.</t>
  </si>
  <si>
    <t>อจ.ชลากร ครุพงศ์สิริ</t>
  </si>
  <si>
    <t>210-541</t>
  </si>
  <si>
    <t>อจ.พิเชฐ  เกศมี</t>
  </si>
  <si>
    <t>210-280</t>
  </si>
  <si>
    <t>213-409</t>
  </si>
  <si>
    <t>210-241</t>
  </si>
  <si>
    <t>210-567</t>
  </si>
  <si>
    <t>211-331</t>
  </si>
  <si>
    <t>210-556</t>
  </si>
  <si>
    <t>210-231</t>
  </si>
  <si>
    <t>210-292</t>
  </si>
  <si>
    <t>212-451</t>
  </si>
  <si>
    <t>210-211</t>
  </si>
  <si>
    <t>210-001</t>
  </si>
  <si>
    <t>212-319</t>
  </si>
  <si>
    <t>210-511</t>
  </si>
  <si>
    <t>210-591</t>
  </si>
  <si>
    <t>212-708,212-708</t>
  </si>
  <si>
    <t>210-632</t>
  </si>
  <si>
    <t>212-463</t>
  </si>
  <si>
    <t>212-280</t>
  </si>
  <si>
    <t>210-552</t>
  </si>
  <si>
    <t>210-564,212-787</t>
  </si>
  <si>
    <t>210-291</t>
  </si>
  <si>
    <t>210-202</t>
  </si>
  <si>
    <t>217-301</t>
  </si>
  <si>
    <t>อจ.หทัยชนก วัฒนศักดิ์</t>
  </si>
  <si>
    <t>235-402 (01)</t>
  </si>
  <si>
    <t>235-402 (02)</t>
  </si>
  <si>
    <t>235-210/236-210</t>
  </si>
  <si>
    <t>235-210/236-210 (01)</t>
  </si>
  <si>
    <t>235-210/236-210 (02)</t>
  </si>
  <si>
    <t>236-001</t>
  </si>
  <si>
    <t>238-001</t>
  </si>
  <si>
    <t>235-230/238-230 (01)</t>
  </si>
  <si>
    <t>238-230 (02), (03)</t>
  </si>
  <si>
    <t>237-201/238-201</t>
  </si>
  <si>
    <t>237-220/238-220</t>
  </si>
  <si>
    <t>235-211/236-211 (02)</t>
  </si>
  <si>
    <t xml:space="preserve"> 238-680/239-680</t>
  </si>
  <si>
    <t xml:space="preserve"> 238-780/239-780</t>
  </si>
  <si>
    <t>235-508</t>
  </si>
  <si>
    <t>235-553</t>
  </si>
  <si>
    <t>237-204/238-204</t>
  </si>
  <si>
    <t>237-580</t>
  </si>
  <si>
    <t>235-330 (01)</t>
  </si>
  <si>
    <t>235-330 (02)</t>
  </si>
  <si>
    <t>235-580</t>
  </si>
  <si>
    <t>ผศ.ธวัชชัย ปลูกผล</t>
  </si>
  <si>
    <t>ผศ.ดร.ธวัชชัย ปลูกผล</t>
  </si>
  <si>
    <t>235-230 (01)</t>
  </si>
  <si>
    <t xml:space="preserve"> 237-301</t>
  </si>
  <si>
    <t xml:space="preserve"> 237-302</t>
  </si>
  <si>
    <t xml:space="preserve"> 237-371</t>
  </si>
  <si>
    <t xml:space="preserve"> 238-230 (01)</t>
  </si>
  <si>
    <t xml:space="preserve"> 238-230 (02)</t>
  </si>
  <si>
    <t xml:space="preserve"> 238-202</t>
  </si>
  <si>
    <t xml:space="preserve"> 238-221</t>
  </si>
  <si>
    <t xml:space="preserve"> 239-536</t>
  </si>
  <si>
    <t xml:space="preserve"> 235-502</t>
  </si>
  <si>
    <t xml:space="preserve"> 237-460</t>
  </si>
  <si>
    <t xml:space="preserve"> 238-230 (01-03)</t>
  </si>
  <si>
    <t xml:space="preserve"> 237-301 </t>
  </si>
  <si>
    <t xml:space="preserve"> 237-303 (01-02)</t>
  </si>
  <si>
    <t>อจ.วิฆเนศว์ ดำคง</t>
  </si>
  <si>
    <t>อจ.พงศ์ศิริ จุลพงศ์</t>
  </si>
  <si>
    <t>อจ.ชนินทร์    ดำรัสการ</t>
  </si>
  <si>
    <t>238-680/239-680</t>
  </si>
  <si>
    <t>238-780/239-780</t>
  </si>
  <si>
    <t>238-504/239-530</t>
  </si>
  <si>
    <t>239-680/239-680</t>
  </si>
  <si>
    <t>239-780/239-780</t>
  </si>
  <si>
    <t xml:space="preserve"> 229-311</t>
  </si>
  <si>
    <t xml:space="preserve"> 238-507</t>
  </si>
  <si>
    <t xml:space="preserve"> 238-500</t>
  </si>
  <si>
    <t>239-507</t>
  </si>
  <si>
    <t>239-541</t>
  </si>
  <si>
    <t xml:space="preserve"> 237-303 (01)</t>
  </si>
  <si>
    <t xml:space="preserve"> 237-303 (02)</t>
  </si>
  <si>
    <t>237-320</t>
  </si>
  <si>
    <t>237-230</t>
  </si>
  <si>
    <t>237-303 (02)</t>
  </si>
  <si>
    <t>237-303 (01)</t>
  </si>
  <si>
    <t>237-303</t>
  </si>
  <si>
    <t>237-321</t>
  </si>
  <si>
    <t>235-371</t>
  </si>
  <si>
    <t>235-321</t>
  </si>
  <si>
    <t>235-302 (2)</t>
  </si>
  <si>
    <t>235-302 (02)</t>
  </si>
  <si>
    <t>235-302 (01)</t>
  </si>
  <si>
    <t>235-301</t>
  </si>
  <si>
    <t>235-404</t>
  </si>
  <si>
    <t>235-211/236-211 (01)</t>
  </si>
  <si>
    <t>235-211/236-211</t>
  </si>
  <si>
    <t>235-321/236-321</t>
  </si>
  <si>
    <t>235-201</t>
  </si>
  <si>
    <t>235-310</t>
  </si>
  <si>
    <t>236-219</t>
  </si>
  <si>
    <t>236-219 (01)</t>
  </si>
  <si>
    <t>236-219 (2)</t>
  </si>
  <si>
    <t>236-219 (3)</t>
  </si>
  <si>
    <t>245-512</t>
  </si>
  <si>
    <t>219-691</t>
  </si>
  <si>
    <t>219-792</t>
  </si>
  <si>
    <t xml:space="preserve">Professor JAEHO BAE </t>
  </si>
  <si>
    <t xml:space="preserve">รศ.ดร.สุธรรม นิยมวาส </t>
  </si>
  <si>
    <t>219-692</t>
  </si>
  <si>
    <t>ดร.บุญญา ชาญนอก</t>
  </si>
  <si>
    <t>219-601</t>
  </si>
  <si>
    <t>219-701</t>
  </si>
  <si>
    <t>ดร.มนตรี สุขเลื่อง</t>
  </si>
  <si>
    <t>219-613</t>
  </si>
  <si>
    <t>219-614</t>
  </si>
  <si>
    <t xml:space="preserve">ดร.สุธิดา หมาดโต๊ะซ๊ะ </t>
  </si>
  <si>
    <t>ดร.วัฒนา รติสมิทธ์</t>
  </si>
  <si>
    <t>219-673</t>
  </si>
  <si>
    <t>219-663</t>
  </si>
  <si>
    <t>ดร.อาคม ปะหลามานิต</t>
  </si>
  <si>
    <t>219-661</t>
  </si>
  <si>
    <t>ดร.มักตาร์ แวหะยี</t>
  </si>
  <si>
    <t>219-791</t>
  </si>
  <si>
    <t>รศ.ดร.พีระพงศ์ ทีฆสกุล</t>
  </si>
  <si>
    <t>ผศ.ดร.ประวิทย์ คงจันทร์</t>
  </si>
  <si>
    <t xml:space="preserve">รศ.ดร.ยุทธนา ฏิระวณิชย์กุล </t>
  </si>
  <si>
    <t xml:space="preserve">ดร.ฐานันดร์ศักดิ์ เทพญา </t>
  </si>
  <si>
    <t xml:space="preserve">ผศ.ดร.รัตนา จริยาบูรณ์ </t>
  </si>
  <si>
    <t xml:space="preserve">รศ.จรัญ บุญกาญจน์ </t>
  </si>
  <si>
    <t xml:space="preserve">ผศ.ดร.กุสุมาลย์ เฉลิมยานนท์ </t>
  </si>
  <si>
    <t>ผศ.ดร.จันทกานต์ ทวีกุล</t>
  </si>
  <si>
    <t>รศ.ดร.จรงค์พันธ์ มุสิกะวงศ์</t>
  </si>
  <si>
    <t>228-552</t>
  </si>
  <si>
    <t>228-613,228-501</t>
  </si>
  <si>
    <t>ผศ.ดร.ชุมพล ยวงใย</t>
  </si>
  <si>
    <t>228-593</t>
  </si>
  <si>
    <t>อจ.ภูมิ ชี้เจริญ</t>
  </si>
  <si>
    <t>อจ.กาญจนาถ จงภักดี</t>
  </si>
  <si>
    <t>ดร.พิไลวรรณ ประพฤติ</t>
  </si>
  <si>
    <t>ดร.สุริยา จิรสถิตสิน</t>
  </si>
  <si>
    <t>นายธิปไตย ศรีนวลทอง</t>
  </si>
  <si>
    <t>228-692,228-593</t>
  </si>
  <si>
    <t xml:space="preserve">ดร.สุวิทย์  สุวรรณโณ </t>
  </si>
  <si>
    <t>ดร.น้ำทิพย์  ตระกูลเมฆี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</si>
</sst>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0.000"/>
    <numFmt numFmtId="188" formatCode="_-* #,##0_-;\-* #,##0_-;_-* &quot;-&quot;??_-;_-@_-"/>
    <numFmt numFmtId="189" formatCode="0.0"/>
    <numFmt numFmtId="190" formatCode="_-* #,##0.0_-;\-* #,##0.0_-;_-* &quot;-&quot;??_-;_-@_-"/>
  </numFmts>
  <fonts count="48" x14ac:knownFonts="1">
    <font>
      <sz val="11"/>
      <color theme="1"/>
      <name val="Tahoma"/>
      <family val="2"/>
      <charset val="222"/>
      <scheme val="minor"/>
    </font>
    <font>
      <sz val="14"/>
      <color theme="1"/>
      <name val="Cordia New"/>
      <family val="2"/>
    </font>
    <font>
      <sz val="14"/>
      <name val="Cordia New"/>
      <family val="2"/>
    </font>
    <font>
      <b/>
      <sz val="14"/>
      <color theme="1"/>
      <name val="Cordia New"/>
      <family val="2"/>
    </font>
    <font>
      <b/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name val="Angsana New"/>
      <family val="1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  <font>
      <sz val="12"/>
      <name val="Microsoft Sans Serif"/>
      <family val="2"/>
      <charset val="222"/>
    </font>
    <font>
      <sz val="10"/>
      <name val="Microsoft Sans Serif"/>
      <family val="2"/>
      <charset val="222"/>
    </font>
    <font>
      <b/>
      <sz val="10"/>
      <name val="Arial"/>
      <family val="2"/>
    </font>
    <font>
      <b/>
      <sz val="10"/>
      <name val="Microsoft Sans Serif"/>
      <family val="2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Cordia New"/>
      <family val="2"/>
    </font>
    <font>
      <sz val="1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1"/>
      <name val="Tahoma"/>
      <family val="2"/>
    </font>
    <font>
      <b/>
      <sz val="11"/>
      <color theme="1"/>
      <name val="Tahoma"/>
      <family val="2"/>
      <scheme val="major"/>
    </font>
    <font>
      <b/>
      <sz val="11"/>
      <name val="Tahoma"/>
      <family val="2"/>
      <scheme val="major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1"/>
      <name val="Tahoma"/>
      <family val="2"/>
      <scheme val="minor"/>
    </font>
    <font>
      <b/>
      <sz val="14"/>
      <name val="Cordia New"/>
      <family val="2"/>
    </font>
    <font>
      <sz val="11"/>
      <color theme="1"/>
      <name val="Tahoma"/>
      <family val="2"/>
      <scheme val="maj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name val="TH SarabunPSK"/>
      <family val="2"/>
    </font>
    <font>
      <b/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ajor"/>
    </font>
    <font>
      <sz val="11"/>
      <name val="Tahoma"/>
      <family val="2"/>
      <scheme val="major"/>
    </font>
    <font>
      <sz val="11"/>
      <name val="Tahoma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0" fontId="9" fillId="0" borderId="0"/>
    <xf numFmtId="0" fontId="16" fillId="0" borderId="0"/>
    <xf numFmtId="43" fontId="20" fillId="0" borderId="0" applyFont="0" applyFill="0" applyBorder="0" applyAlignment="0" applyProtection="0"/>
    <xf numFmtId="0" fontId="6" fillId="0" borderId="0"/>
  </cellStyleXfs>
  <cellXfs count="147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23" xfId="0" applyBorder="1"/>
    <xf numFmtId="0" fontId="0" fillId="0" borderId="17" xfId="0" applyBorder="1"/>
    <xf numFmtId="0" fontId="1" fillId="0" borderId="24" xfId="0" applyFont="1" applyBorder="1" applyAlignment="1">
      <alignment vertical="top"/>
    </xf>
    <xf numFmtId="0" fontId="0" fillId="0" borderId="25" xfId="0" applyBorder="1"/>
    <xf numFmtId="0" fontId="1" fillId="0" borderId="26" xfId="0" applyFont="1" applyBorder="1" applyAlignment="1">
      <alignment vertical="top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0" fillId="0" borderId="24" xfId="0" applyBorder="1"/>
    <xf numFmtId="0" fontId="1" fillId="0" borderId="28" xfId="0" applyFont="1" applyBorder="1" applyAlignment="1">
      <alignment vertical="top"/>
    </xf>
    <xf numFmtId="0" fontId="0" fillId="0" borderId="23" xfId="0" applyBorder="1" applyAlignment="1">
      <alignment horizontal="center"/>
    </xf>
    <xf numFmtId="2" fontId="0" fillId="0" borderId="17" xfId="0" applyNumberFormat="1" applyBorder="1" applyAlignment="1">
      <alignment horizontal="center" vertical="top"/>
    </xf>
    <xf numFmtId="0" fontId="0" fillId="0" borderId="28" xfId="0" applyBorder="1"/>
    <xf numFmtId="0" fontId="1" fillId="0" borderId="2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87" fontId="0" fillId="0" borderId="17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87" fontId="4" fillId="0" borderId="17" xfId="0" applyNumberFormat="1" applyFont="1" applyBorder="1" applyAlignment="1">
      <alignment horizontal="center"/>
    </xf>
    <xf numFmtId="0" fontId="6" fillId="0" borderId="0" xfId="0" applyFont="1"/>
    <xf numFmtId="0" fontId="7" fillId="0" borderId="6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0" fillId="0" borderId="29" xfId="0" applyBorder="1"/>
    <xf numFmtId="0" fontId="1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17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0" fillId="0" borderId="3" xfId="0" applyFill="1" applyBorder="1"/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1" fillId="0" borderId="17" xfId="0" applyFont="1" applyFill="1" applyBorder="1" applyAlignment="1">
      <alignment vertical="top"/>
    </xf>
    <xf numFmtId="0" fontId="0" fillId="0" borderId="23" xfId="0" applyFill="1" applyBorder="1"/>
    <xf numFmtId="0" fontId="0" fillId="0" borderId="18" xfId="0" applyFill="1" applyBorder="1"/>
    <xf numFmtId="0" fontId="1" fillId="0" borderId="19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9" xfId="0" applyFill="1" applyBorder="1"/>
    <xf numFmtId="0" fontId="0" fillId="0" borderId="28" xfId="0" applyFill="1" applyBorder="1"/>
    <xf numFmtId="0" fontId="0" fillId="0" borderId="17" xfId="0" applyFill="1" applyBorder="1"/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0" fillId="0" borderId="24" xfId="0" applyFill="1" applyBorder="1"/>
    <xf numFmtId="0" fontId="0" fillId="0" borderId="25" xfId="0" applyFill="1" applyBorder="1"/>
    <xf numFmtId="0" fontId="4" fillId="0" borderId="17" xfId="0" applyFont="1" applyFill="1" applyBorder="1"/>
    <xf numFmtId="0" fontId="0" fillId="0" borderId="22" xfId="0" applyFill="1" applyBorder="1"/>
    <xf numFmtId="0" fontId="0" fillId="0" borderId="1" xfId="0" applyFill="1" applyBorder="1"/>
    <xf numFmtId="0" fontId="0" fillId="0" borderId="29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2" fontId="4" fillId="0" borderId="17" xfId="0" applyNumberFormat="1" applyFont="1" applyFill="1" applyBorder="1"/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 applyAlignment="1"/>
    <xf numFmtId="0" fontId="11" fillId="0" borderId="3" xfId="0" applyFont="1" applyFill="1" applyBorder="1" applyAlignment="1"/>
    <xf numFmtId="0" fontId="11" fillId="0" borderId="18" xfId="0" applyFont="1" applyFill="1" applyBorder="1" applyAlignment="1"/>
    <xf numFmtId="0" fontId="11" fillId="0" borderId="19" xfId="0" applyFont="1" applyFill="1" applyBorder="1" applyAlignment="1"/>
    <xf numFmtId="0" fontId="4" fillId="0" borderId="24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25" xfId="0" applyFont="1" applyFill="1" applyBorder="1"/>
    <xf numFmtId="0" fontId="11" fillId="0" borderId="17" xfId="0" applyFont="1" applyBorder="1" applyAlignment="1">
      <alignment horizontal="center" vertical="center"/>
    </xf>
    <xf numFmtId="0" fontId="0" fillId="0" borderId="0" xfId="0" applyFill="1" applyAlignment="1"/>
    <xf numFmtId="0" fontId="4" fillId="0" borderId="18" xfId="0" applyFont="1" applyFill="1" applyBorder="1"/>
    <xf numFmtId="0" fontId="0" fillId="0" borderId="18" xfId="0" applyFill="1" applyBorder="1" applyAlignment="1"/>
    <xf numFmtId="0" fontId="11" fillId="0" borderId="19" xfId="0" applyFont="1" applyBorder="1" applyAlignment="1">
      <alignment horizontal="center" vertical="center"/>
    </xf>
    <xf numFmtId="0" fontId="11" fillId="0" borderId="0" xfId="0" applyFont="1" applyFill="1"/>
    <xf numFmtId="0" fontId="11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1" fillId="0" borderId="24" xfId="0" applyFont="1" applyFill="1" applyBorder="1"/>
    <xf numFmtId="2" fontId="0" fillId="0" borderId="17" xfId="0" applyNumberFormat="1" applyFill="1" applyBorder="1"/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/>
    <xf numFmtId="0" fontId="11" fillId="0" borderId="3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31" xfId="0" applyFont="1" applyFill="1" applyBorder="1" applyAlignment="1"/>
    <xf numFmtId="0" fontId="11" fillId="0" borderId="32" xfId="0" applyFont="1" applyFill="1" applyBorder="1" applyAlignment="1"/>
    <xf numFmtId="0" fontId="11" fillId="0" borderId="26" xfId="0" applyFont="1" applyFill="1" applyBorder="1" applyAlignment="1"/>
    <xf numFmtId="0" fontId="11" fillId="0" borderId="2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4" fillId="0" borderId="23" xfId="0" applyFont="1" applyFill="1" applyBorder="1"/>
    <xf numFmtId="0" fontId="11" fillId="0" borderId="1" xfId="0" applyFont="1" applyFill="1" applyBorder="1" applyAlignment="1"/>
    <xf numFmtId="0" fontId="11" fillId="0" borderId="21" xfId="0" applyFont="1" applyFill="1" applyBorder="1" applyAlignment="1"/>
    <xf numFmtId="0" fontId="11" fillId="0" borderId="1" xfId="0" applyFont="1" applyFill="1" applyBorder="1" applyAlignment="1">
      <alignment horizontal="left" vertical="top"/>
    </xf>
    <xf numFmtId="0" fontId="4" fillId="0" borderId="19" xfId="0" applyFont="1" applyFill="1" applyBorder="1"/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12" fillId="0" borderId="6" xfId="0" applyFont="1" applyBorder="1" applyAlignment="1">
      <alignment vertical="top"/>
    </xf>
    <xf numFmtId="0" fontId="13" fillId="0" borderId="5" xfId="0" applyFont="1" applyBorder="1" applyAlignment="1">
      <alignment horizontal="left" vertical="top" wrapText="1"/>
    </xf>
    <xf numFmtId="0" fontId="12" fillId="0" borderId="6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2" fontId="12" fillId="0" borderId="6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0" fontId="12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2" fontId="12" fillId="0" borderId="11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13" xfId="0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vertical="top"/>
    </xf>
    <xf numFmtId="0" fontId="12" fillId="0" borderId="14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2" fontId="12" fillId="0" borderId="14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vertical="top"/>
    </xf>
    <xf numFmtId="0" fontId="12" fillId="0" borderId="9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2" fontId="12" fillId="0" borderId="9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 horizontal="left" vertical="top" wrapText="1"/>
    </xf>
    <xf numFmtId="0" fontId="12" fillId="0" borderId="12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2" fontId="12" fillId="0" borderId="12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/>
    </xf>
    <xf numFmtId="0" fontId="7" fillId="0" borderId="8" xfId="0" applyFont="1" applyBorder="1" applyAlignment="1">
      <alignment horizontal="left" vertical="top" wrapText="1"/>
    </xf>
    <xf numFmtId="0" fontId="0" fillId="0" borderId="26" xfId="0" applyBorder="1"/>
    <xf numFmtId="0" fontId="6" fillId="0" borderId="24" xfId="0" applyFont="1" applyBorder="1"/>
    <xf numFmtId="0" fontId="7" fillId="0" borderId="12" xfId="0" applyFont="1" applyBorder="1" applyAlignment="1">
      <alignment vertical="top"/>
    </xf>
    <xf numFmtId="0" fontId="7" fillId="0" borderId="16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vertical="top"/>
    </xf>
    <xf numFmtId="0" fontId="13" fillId="0" borderId="23" xfId="0" applyFont="1" applyBorder="1" applyAlignment="1">
      <alignment horizontal="left" vertical="top" wrapText="1"/>
    </xf>
    <xf numFmtId="0" fontId="12" fillId="0" borderId="23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/>
    </xf>
    <xf numFmtId="0" fontId="12" fillId="0" borderId="17" xfId="0" applyFont="1" applyBorder="1" applyAlignment="1">
      <alignment vertical="top"/>
    </xf>
    <xf numFmtId="0" fontId="13" fillId="0" borderId="25" xfId="0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left" vertical="top" wrapText="1"/>
    </xf>
    <xf numFmtId="0" fontId="7" fillId="0" borderId="23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center" vertical="top"/>
    </xf>
    <xf numFmtId="0" fontId="0" fillId="0" borderId="27" xfId="0" applyBorder="1"/>
    <xf numFmtId="2" fontId="7" fillId="0" borderId="19" xfId="0" applyNumberFormat="1" applyFont="1" applyBorder="1" applyAlignment="1">
      <alignment horizontal="center" vertical="top"/>
    </xf>
    <xf numFmtId="0" fontId="0" fillId="0" borderId="0" xfId="0" applyBorder="1"/>
    <xf numFmtId="0" fontId="7" fillId="0" borderId="17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12" fillId="0" borderId="3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0" borderId="25" xfId="0" applyFont="1" applyBorder="1" applyAlignment="1">
      <alignment horizontal="left" vertical="top" wrapText="1"/>
    </xf>
    <xf numFmtId="2" fontId="0" fillId="0" borderId="19" xfId="0" applyNumberFormat="1" applyBorder="1" applyAlignment="1">
      <alignment horizontal="center"/>
    </xf>
    <xf numFmtId="0" fontId="0" fillId="0" borderId="1" xfId="0" applyBorder="1"/>
    <xf numFmtId="0" fontId="4" fillId="0" borderId="17" xfId="0" applyFont="1" applyBorder="1" applyAlignment="1">
      <alignment vertical="center"/>
    </xf>
    <xf numFmtId="0" fontId="15" fillId="0" borderId="3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/>
    </xf>
    <xf numFmtId="0" fontId="4" fillId="0" borderId="17" xfId="0" applyFont="1" applyBorder="1"/>
    <xf numFmtId="0" fontId="0" fillId="0" borderId="0" xfId="0" applyAlignment="1">
      <alignment horizontal="right"/>
    </xf>
    <xf numFmtId="0" fontId="7" fillId="0" borderId="18" xfId="0" applyFont="1" applyBorder="1" applyAlignment="1">
      <alignment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left" vertical="top" wrapText="1"/>
    </xf>
    <xf numFmtId="0" fontId="0" fillId="0" borderId="17" xfId="0" applyBorder="1" applyAlignment="1">
      <alignment horizontal="right"/>
    </xf>
    <xf numFmtId="0" fontId="7" fillId="0" borderId="11" xfId="0" applyNumberFormat="1" applyFont="1" applyFill="1" applyBorder="1" applyAlignment="1">
      <alignment horizontal="right" vertical="top"/>
    </xf>
    <xf numFmtId="0" fontId="7" fillId="0" borderId="22" xfId="0" applyFont="1" applyBorder="1" applyAlignment="1">
      <alignment horizontal="left" vertical="top" wrapText="1"/>
    </xf>
    <xf numFmtId="0" fontId="0" fillId="2" borderId="0" xfId="0" applyFill="1"/>
    <xf numFmtId="0" fontId="12" fillId="0" borderId="18" xfId="0" applyFont="1" applyBorder="1" applyAlignment="1">
      <alignment vertical="top"/>
    </xf>
    <xf numFmtId="0" fontId="13" fillId="0" borderId="18" xfId="0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right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0" fontId="0" fillId="0" borderId="18" xfId="0" applyBorder="1" applyAlignment="1">
      <alignment horizontal="right"/>
    </xf>
    <xf numFmtId="0" fontId="7" fillId="0" borderId="12" xfId="0" applyFont="1" applyFill="1" applyBorder="1" applyAlignment="1">
      <alignment vertical="top"/>
    </xf>
    <xf numFmtId="0" fontId="12" fillId="0" borderId="19" xfId="0" applyFont="1" applyBorder="1" applyAlignment="1">
      <alignment vertical="top"/>
    </xf>
    <xf numFmtId="0" fontId="12" fillId="0" borderId="19" xfId="0" applyNumberFormat="1" applyFont="1" applyBorder="1" applyAlignment="1">
      <alignment horizontal="center" vertical="top"/>
    </xf>
    <xf numFmtId="0" fontId="0" fillId="0" borderId="3" xfId="0" applyFill="1" applyBorder="1" applyAlignment="1">
      <alignment horizontal="left"/>
    </xf>
    <xf numFmtId="0" fontId="17" fillId="0" borderId="3" xfId="2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 vertical="top"/>
    </xf>
    <xf numFmtId="0" fontId="14" fillId="0" borderId="22" xfId="0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center" vertical="top"/>
    </xf>
    <xf numFmtId="0" fontId="0" fillId="0" borderId="25" xfId="0" applyBorder="1" applyAlignment="1">
      <alignment horizontal="right"/>
    </xf>
    <xf numFmtId="0" fontId="10" fillId="0" borderId="26" xfId="0" applyFont="1" applyFill="1" applyBorder="1" applyAlignment="1">
      <alignment vertical="top"/>
    </xf>
    <xf numFmtId="0" fontId="5" fillId="0" borderId="28" xfId="0" applyFont="1" applyBorder="1"/>
    <xf numFmtId="2" fontId="5" fillId="0" borderId="19" xfId="0" applyNumberFormat="1" applyFont="1" applyBorder="1"/>
    <xf numFmtId="0" fontId="5" fillId="0" borderId="26" xfId="0" applyFont="1" applyBorder="1"/>
    <xf numFmtId="2" fontId="5" fillId="0" borderId="26" xfId="0" applyNumberFormat="1" applyFont="1" applyBorder="1"/>
    <xf numFmtId="2" fontId="5" fillId="0" borderId="28" xfId="0" applyNumberFormat="1" applyFont="1" applyBorder="1"/>
    <xf numFmtId="2" fontId="5" fillId="0" borderId="27" xfId="0" applyNumberFormat="1" applyFont="1" applyBorder="1"/>
    <xf numFmtId="0" fontId="10" fillId="0" borderId="24" xfId="0" applyFont="1" applyFill="1" applyBorder="1" applyAlignment="1">
      <alignment vertical="top"/>
    </xf>
    <xf numFmtId="0" fontId="5" fillId="0" borderId="23" xfId="0" applyFont="1" applyBorder="1"/>
    <xf numFmtId="0" fontId="5" fillId="0" borderId="25" xfId="0" applyFont="1" applyBorder="1"/>
    <xf numFmtId="0" fontId="5" fillId="0" borderId="17" xfId="0" applyFont="1" applyBorder="1"/>
    <xf numFmtId="0" fontId="5" fillId="0" borderId="24" xfId="0" applyFont="1" applyBorder="1"/>
    <xf numFmtId="2" fontId="5" fillId="0" borderId="25" xfId="0" applyNumberFormat="1" applyFont="1" applyBorder="1"/>
    <xf numFmtId="2" fontId="5" fillId="0" borderId="24" xfId="0" applyNumberFormat="1" applyFont="1" applyBorder="1"/>
    <xf numFmtId="2" fontId="5" fillId="0" borderId="23" xfId="0" applyNumberFormat="1" applyFont="1" applyBorder="1"/>
    <xf numFmtId="2" fontId="5" fillId="0" borderId="17" xfId="0" applyNumberFormat="1" applyFont="1" applyBorder="1"/>
    <xf numFmtId="43" fontId="0" fillId="0" borderId="17" xfId="3" applyFont="1" applyBorder="1"/>
    <xf numFmtId="0" fontId="10" fillId="0" borderId="17" xfId="0" applyFont="1" applyFill="1" applyBorder="1" applyAlignment="1">
      <alignment vertical="top"/>
    </xf>
    <xf numFmtId="43" fontId="0" fillId="0" borderId="17" xfId="3" applyFont="1" applyFill="1" applyBorder="1"/>
    <xf numFmtId="2" fontId="4" fillId="0" borderId="17" xfId="0" applyNumberFormat="1" applyFont="1" applyBorder="1"/>
    <xf numFmtId="0" fontId="4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 vertical="top"/>
    </xf>
    <xf numFmtId="2" fontId="5" fillId="0" borderId="17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 vertical="top"/>
    </xf>
    <xf numFmtId="2" fontId="5" fillId="0" borderId="25" xfId="0" applyNumberFormat="1" applyFont="1" applyBorder="1" applyAlignment="1">
      <alignment horizontal="right"/>
    </xf>
    <xf numFmtId="188" fontId="4" fillId="0" borderId="17" xfId="3" applyNumberFormat="1" applyFont="1" applyFill="1" applyBorder="1" applyAlignment="1">
      <alignment horizontal="right"/>
    </xf>
    <xf numFmtId="0" fontId="0" fillId="0" borderId="24" xfId="0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" fillId="0" borderId="19" xfId="0" applyFont="1" applyBorder="1" applyAlignment="1">
      <alignment vertical="top"/>
    </xf>
    <xf numFmtId="0" fontId="0" fillId="2" borderId="18" xfId="0" applyFill="1" applyBorder="1"/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8" xfId="0" applyFill="1" applyBorder="1" applyAlignment="1">
      <alignment vertical="center"/>
    </xf>
    <xf numFmtId="1" fontId="4" fillId="0" borderId="1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" xfId="0" applyFont="1" applyFill="1" applyBorder="1" applyAlignment="1">
      <alignment vertical="top"/>
    </xf>
    <xf numFmtId="1" fontId="4" fillId="0" borderId="25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4" fillId="0" borderId="25" xfId="0" applyFont="1" applyBorder="1" applyAlignment="1">
      <alignment vertical="center"/>
    </xf>
    <xf numFmtId="2" fontId="1" fillId="0" borderId="18" xfId="0" applyNumberFormat="1" applyFont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right" vertical="top"/>
    </xf>
    <xf numFmtId="0" fontId="0" fillId="0" borderId="21" xfId="0" applyFill="1" applyBorder="1" applyAlignment="1">
      <alignment vertical="center"/>
    </xf>
    <xf numFmtId="0" fontId="0" fillId="0" borderId="23" xfId="0" applyBorder="1" applyAlignment="1">
      <alignment horizontal="left"/>
    </xf>
    <xf numFmtId="0" fontId="4" fillId="0" borderId="19" xfId="0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7" xfId="0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" fontId="4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21" xfId="0" applyFill="1" applyBorder="1" applyAlignment="1">
      <alignment horizontal="left"/>
    </xf>
    <xf numFmtId="43" fontId="5" fillId="0" borderId="25" xfId="3" applyFont="1" applyBorder="1"/>
    <xf numFmtId="0" fontId="0" fillId="0" borderId="1" xfId="0" applyBorder="1" applyAlignment="1">
      <alignment horizontal="left" vertical="center"/>
    </xf>
    <xf numFmtId="1" fontId="4" fillId="0" borderId="17" xfId="0" applyNumberFormat="1" applyFont="1" applyBorder="1"/>
    <xf numFmtId="0" fontId="1" fillId="0" borderId="1" xfId="0" applyFont="1" applyFill="1" applyBorder="1" applyAlignment="1">
      <alignment vertical="top"/>
    </xf>
    <xf numFmtId="1" fontId="4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2" fontId="5" fillId="0" borderId="1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1" fillId="0" borderId="25" xfId="0" applyFont="1" applyFill="1" applyBorder="1"/>
    <xf numFmtId="0" fontId="21" fillId="0" borderId="0" xfId="0" applyFont="1" applyFill="1"/>
    <xf numFmtId="0" fontId="21" fillId="0" borderId="2" xfId="0" applyFont="1" applyFill="1" applyBorder="1"/>
    <xf numFmtId="0" fontId="21" fillId="0" borderId="27" xfId="0" applyFont="1" applyFill="1" applyBorder="1"/>
    <xf numFmtId="1" fontId="4" fillId="0" borderId="27" xfId="0" applyNumberFormat="1" applyFont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3" xfId="0" applyBorder="1" applyAlignment="1">
      <alignment horizontal="left" vertical="center"/>
    </xf>
    <xf numFmtId="1" fontId="6" fillId="0" borderId="18" xfId="0" applyNumberFormat="1" applyFont="1" applyBorder="1" applyAlignment="1">
      <alignment horizontal="right" vertical="center"/>
    </xf>
    <xf numFmtId="0" fontId="26" fillId="0" borderId="17" xfId="0" applyFont="1" applyBorder="1"/>
    <xf numFmtId="0" fontId="0" fillId="0" borderId="25" xfId="0" applyFill="1" applyBorder="1" applyAlignment="1">
      <alignment horizontal="right"/>
    </xf>
    <xf numFmtId="0" fontId="0" fillId="0" borderId="24" xfId="0" applyFill="1" applyBorder="1" applyAlignment="1">
      <alignment horizontal="left"/>
    </xf>
    <xf numFmtId="1" fontId="4" fillId="0" borderId="17" xfId="0" applyNumberFormat="1" applyFont="1" applyBorder="1" applyAlignment="1">
      <alignment horizontal="right"/>
    </xf>
    <xf numFmtId="0" fontId="25" fillId="0" borderId="24" xfId="0" applyFont="1" applyBorder="1"/>
    <xf numFmtId="0" fontId="4" fillId="0" borderId="25" xfId="0" applyFont="1" applyFill="1" applyBorder="1" applyAlignment="1">
      <alignment horizontal="right"/>
    </xf>
    <xf numFmtId="0" fontId="25" fillId="0" borderId="0" xfId="0" applyFont="1"/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right"/>
    </xf>
    <xf numFmtId="0" fontId="0" fillId="0" borderId="28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right" vertical="center"/>
    </xf>
    <xf numFmtId="189" fontId="4" fillId="0" borderId="19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26" fillId="0" borderId="18" xfId="0" applyFont="1" applyBorder="1"/>
    <xf numFmtId="0" fontId="6" fillId="0" borderId="18" xfId="0" applyFont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0" fontId="26" fillId="0" borderId="19" xfId="0" applyFont="1" applyBorder="1"/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0" fillId="0" borderId="28" xfId="0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6" fillId="0" borderId="3" xfId="0" applyFont="1" applyBorder="1"/>
    <xf numFmtId="43" fontId="4" fillId="0" borderId="17" xfId="3" applyFont="1" applyBorder="1"/>
    <xf numFmtId="189" fontId="6" fillId="0" borderId="3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1" fontId="6" fillId="0" borderId="1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" fontId="6" fillId="0" borderId="22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1" fontId="6" fillId="0" borderId="3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5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/>
    <xf numFmtId="0" fontId="2" fillId="0" borderId="18" xfId="1" applyFont="1" applyFill="1" applyBorder="1" applyAlignment="1"/>
    <xf numFmtId="0" fontId="10" fillId="0" borderId="2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/>
    </xf>
    <xf numFmtId="0" fontId="10" fillId="0" borderId="23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 horizontal="right"/>
    </xf>
    <xf numFmtId="0" fontId="0" fillId="0" borderId="29" xfId="0" applyFill="1" applyBorder="1" applyAlignment="1">
      <alignment horizontal="left"/>
    </xf>
    <xf numFmtId="0" fontId="6" fillId="0" borderId="23" xfId="0" applyFont="1" applyBorder="1"/>
    <xf numFmtId="0" fontId="7" fillId="0" borderId="36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top"/>
    </xf>
    <xf numFmtId="2" fontId="12" fillId="0" borderId="1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/>
    </xf>
    <xf numFmtId="0" fontId="14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0" fontId="7" fillId="0" borderId="40" xfId="0" applyFont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0" xfId="0" applyFont="1" applyBorder="1" applyAlignment="1">
      <alignment vertical="top"/>
    </xf>
    <xf numFmtId="0" fontId="7" fillId="0" borderId="41" xfId="0" applyFont="1" applyBorder="1" applyAlignment="1">
      <alignment horizontal="left" vertical="top" wrapText="1"/>
    </xf>
    <xf numFmtId="0" fontId="7" fillId="0" borderId="30" xfId="0" applyNumberFormat="1" applyFont="1" applyBorder="1" applyAlignment="1">
      <alignment horizontal="center" vertical="top"/>
    </xf>
    <xf numFmtId="0" fontId="7" fillId="0" borderId="38" xfId="0" applyFont="1" applyBorder="1" applyAlignment="1">
      <alignment vertical="top"/>
    </xf>
    <xf numFmtId="0" fontId="7" fillId="0" borderId="42" xfId="0" applyFont="1" applyBorder="1" applyAlignment="1">
      <alignment horizontal="left" vertical="top" wrapText="1"/>
    </xf>
    <xf numFmtId="0" fontId="7" fillId="0" borderId="38" xfId="0" applyNumberFormat="1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 wrapText="1"/>
    </xf>
    <xf numFmtId="0" fontId="27" fillId="0" borderId="18" xfId="0" applyFont="1" applyBorder="1"/>
    <xf numFmtId="0" fontId="27" fillId="0" borderId="19" xfId="0" applyFont="1" applyBorder="1"/>
    <xf numFmtId="0" fontId="7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13" fillId="0" borderId="6" xfId="0" applyNumberFormat="1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6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3" fillId="0" borderId="6" xfId="0" applyFont="1" applyBorder="1" applyAlignment="1">
      <alignment vertical="top"/>
    </xf>
    <xf numFmtId="0" fontId="12" fillId="0" borderId="9" xfId="0" applyFont="1" applyBorder="1" applyAlignment="1">
      <alignment horizontal="left" vertical="top" wrapText="1"/>
    </xf>
    <xf numFmtId="0" fontId="27" fillId="0" borderId="0" xfId="0" applyFont="1"/>
    <xf numFmtId="0" fontId="12" fillId="0" borderId="11" xfId="0" applyFont="1" applyBorder="1" applyAlignment="1">
      <alignment vertical="top" wrapText="1"/>
    </xf>
    <xf numFmtId="2" fontId="28" fillId="0" borderId="17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2" fontId="12" fillId="0" borderId="22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2" fontId="12" fillId="0" borderId="10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9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0" fillId="0" borderId="27" xfId="0" applyFont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0" fontId="11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7" xfId="0" applyBorder="1" applyAlignment="1">
      <alignment horizontal="center" vertical="top"/>
    </xf>
    <xf numFmtId="0" fontId="11" fillId="0" borderId="24" xfId="0" applyFont="1" applyBorder="1" applyAlignment="1">
      <alignment vertical="top"/>
    </xf>
    <xf numFmtId="0" fontId="11" fillId="0" borderId="19" xfId="0" applyFont="1" applyBorder="1" applyAlignment="1">
      <alignment horizontal="center" vertical="top"/>
    </xf>
    <xf numFmtId="0" fontId="11" fillId="0" borderId="3" xfId="0" applyFont="1" applyBorder="1" applyAlignment="1">
      <alignment vertical="top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0" fontId="11" fillId="0" borderId="6" xfId="0" applyFont="1" applyFill="1" applyBorder="1" applyAlignment="1">
      <alignment horizontal="center" vertical="top"/>
    </xf>
    <xf numFmtId="1" fontId="29" fillId="0" borderId="17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top"/>
    </xf>
    <xf numFmtId="0" fontId="29" fillId="0" borderId="25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88" fontId="4" fillId="0" borderId="17" xfId="3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/>
    </xf>
    <xf numFmtId="0" fontId="29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top"/>
    </xf>
    <xf numFmtId="2" fontId="22" fillId="0" borderId="3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22" fillId="0" borderId="26" xfId="0" applyFont="1" applyBorder="1" applyAlignment="1">
      <alignment vertical="top"/>
    </xf>
    <xf numFmtId="2" fontId="30" fillId="0" borderId="17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/>
    </xf>
    <xf numFmtId="0" fontId="31" fillId="0" borderId="24" xfId="0" applyFont="1" applyFill="1" applyBorder="1" applyAlignment="1"/>
    <xf numFmtId="0" fontId="31" fillId="0" borderId="24" xfId="0" applyFont="1" applyFill="1" applyBorder="1"/>
    <xf numFmtId="0" fontId="31" fillId="0" borderId="24" xfId="0" applyFont="1" applyFill="1" applyBorder="1" applyAlignment="1">
      <alignment horizontal="left"/>
    </xf>
    <xf numFmtId="0" fontId="26" fillId="0" borderId="24" xfId="0" applyFont="1" applyFill="1" applyBorder="1"/>
    <xf numFmtId="0" fontId="32" fillId="0" borderId="24" xfId="0" applyFont="1" applyFill="1" applyBorder="1"/>
    <xf numFmtId="0" fontId="31" fillId="0" borderId="21" xfId="0" applyFont="1" applyFill="1" applyBorder="1" applyAlignment="1">
      <alignment horizontal="left"/>
    </xf>
    <xf numFmtId="0" fontId="0" fillId="0" borderId="17" xfId="0" applyFill="1" applyBorder="1" applyAlignment="1"/>
    <xf numFmtId="0" fontId="31" fillId="0" borderId="24" xfId="1" applyFont="1" applyFill="1" applyBorder="1" applyAlignment="1">
      <alignment vertical="center"/>
    </xf>
    <xf numFmtId="0" fontId="11" fillId="0" borderId="17" xfId="0" applyFont="1" applyFill="1" applyBorder="1" applyAlignment="1"/>
    <xf numFmtId="0" fontId="11" fillId="0" borderId="17" xfId="0" applyFont="1" applyFill="1" applyBorder="1"/>
    <xf numFmtId="0" fontId="31" fillId="0" borderId="1" xfId="0" applyFont="1" applyFill="1" applyBorder="1"/>
    <xf numFmtId="0" fontId="31" fillId="0" borderId="26" xfId="0" applyFont="1" applyFill="1" applyBorder="1" applyAlignment="1">
      <alignment horizontal="left"/>
    </xf>
    <xf numFmtId="0" fontId="31" fillId="0" borderId="3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23" fillId="0" borderId="22" xfId="0" applyFont="1" applyFill="1" applyBorder="1"/>
    <xf numFmtId="0" fontId="33" fillId="0" borderId="17" xfId="0" applyFont="1" applyFill="1" applyBorder="1"/>
    <xf numFmtId="0" fontId="30" fillId="0" borderId="17" xfId="0" applyFont="1" applyFill="1" applyBorder="1"/>
    <xf numFmtId="0" fontId="0" fillId="0" borderId="0" xfId="0" applyFill="1" applyAlignment="1">
      <alignment horizontal="left"/>
    </xf>
    <xf numFmtId="0" fontId="0" fillId="0" borderId="26" xfId="0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/>
    </xf>
    <xf numFmtId="0" fontId="0" fillId="0" borderId="29" xfId="0" applyFill="1" applyBorder="1" applyAlignment="1"/>
    <xf numFmtId="0" fontId="11" fillId="0" borderId="3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/>
    </xf>
    <xf numFmtId="2" fontId="5" fillId="0" borderId="17" xfId="0" applyNumberFormat="1" applyFont="1" applyFill="1" applyBorder="1"/>
    <xf numFmtId="2" fontId="5" fillId="0" borderId="25" xfId="0" applyNumberFormat="1" applyFont="1" applyFill="1" applyBorder="1"/>
    <xf numFmtId="0" fontId="11" fillId="0" borderId="3" xfId="0" applyFont="1" applyFill="1" applyBorder="1"/>
    <xf numFmtId="0" fontId="4" fillId="0" borderId="23" xfId="0" applyFont="1" applyFill="1" applyBorder="1" applyAlignment="1">
      <alignment horizontal="left"/>
    </xf>
    <xf numFmtId="0" fontId="26" fillId="0" borderId="19" xfId="0" applyFont="1" applyFill="1" applyBorder="1"/>
    <xf numFmtId="0" fontId="24" fillId="0" borderId="19" xfId="0" applyFont="1" applyFill="1" applyBorder="1" applyAlignment="1">
      <alignment horizontal="left"/>
    </xf>
    <xf numFmtId="0" fontId="31" fillId="0" borderId="33" xfId="0" applyFont="1" applyFill="1" applyBorder="1" applyAlignment="1">
      <alignment horizontal="left"/>
    </xf>
    <xf numFmtId="0" fontId="32" fillId="0" borderId="26" xfId="0" applyFont="1" applyFill="1" applyBorder="1"/>
    <xf numFmtId="0" fontId="32" fillId="0" borderId="1" xfId="0" applyFont="1" applyFill="1" applyBorder="1"/>
    <xf numFmtId="0" fontId="31" fillId="0" borderId="1" xfId="0" applyFont="1" applyFill="1" applyBorder="1" applyAlignment="1">
      <alignment horizontal="left"/>
    </xf>
    <xf numFmtId="0" fontId="32" fillId="0" borderId="24" xfId="0" applyFont="1" applyFill="1" applyBorder="1" applyAlignment="1">
      <alignment vertical="center"/>
    </xf>
    <xf numFmtId="0" fontId="26" fillId="0" borderId="17" xfId="0" applyFont="1" applyFill="1" applyBorder="1"/>
    <xf numFmtId="2" fontId="5" fillId="0" borderId="23" xfId="0" applyNumberFormat="1" applyFont="1" applyFill="1" applyBorder="1"/>
    <xf numFmtId="2" fontId="5" fillId="0" borderId="19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17" fillId="0" borderId="2" xfId="2" applyFont="1" applyFill="1" applyBorder="1" applyAlignment="1">
      <alignment horizontal="right"/>
    </xf>
    <xf numFmtId="0" fontId="17" fillId="0" borderId="10" xfId="2" applyFont="1" applyFill="1" applyBorder="1" applyAlignment="1">
      <alignment horizontal="right"/>
    </xf>
    <xf numFmtId="0" fontId="17" fillId="0" borderId="22" xfId="2" applyFont="1" applyFill="1" applyBorder="1" applyAlignment="1">
      <alignment horizontal="right"/>
    </xf>
    <xf numFmtId="0" fontId="17" fillId="0" borderId="27" xfId="2" applyFont="1" applyFill="1" applyBorder="1" applyAlignment="1">
      <alignment horizontal="right"/>
    </xf>
    <xf numFmtId="0" fontId="15" fillId="0" borderId="23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7" fillId="0" borderId="5" xfId="2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7" fillId="0" borderId="12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vertical="top"/>
    </xf>
    <xf numFmtId="0" fontId="7" fillId="0" borderId="25" xfId="0" applyFont="1" applyFill="1" applyBorder="1" applyAlignment="1">
      <alignment horizontal="left" vertical="top" wrapText="1"/>
    </xf>
    <xf numFmtId="0" fontId="10" fillId="0" borderId="17" xfId="0" applyNumberFormat="1" applyFont="1" applyFill="1" applyBorder="1" applyAlignment="1">
      <alignment horizontal="right" vertical="top"/>
    </xf>
    <xf numFmtId="0" fontId="14" fillId="0" borderId="2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right" vertical="top"/>
    </xf>
    <xf numFmtId="0" fontId="7" fillId="0" borderId="18" xfId="0" applyNumberFormat="1" applyFont="1" applyFill="1" applyBorder="1" applyAlignment="1">
      <alignment horizontal="right" vertical="top"/>
    </xf>
    <xf numFmtId="0" fontId="17" fillId="0" borderId="11" xfId="2" applyFont="1" applyFill="1" applyBorder="1" applyAlignment="1">
      <alignment horizontal="right"/>
    </xf>
    <xf numFmtId="0" fontId="12" fillId="0" borderId="17" xfId="0" applyFont="1" applyFill="1" applyBorder="1" applyAlignment="1">
      <alignment vertical="top"/>
    </xf>
    <xf numFmtId="0" fontId="13" fillId="0" borderId="2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/>
    </xf>
    <xf numFmtId="0" fontId="12" fillId="0" borderId="11" xfId="0" applyNumberFormat="1" applyFont="1" applyFill="1" applyBorder="1" applyAlignment="1">
      <alignment horizontal="center" vertical="top"/>
    </xf>
    <xf numFmtId="0" fontId="12" fillId="0" borderId="14" xfId="0" applyFont="1" applyFill="1" applyBorder="1" applyAlignment="1">
      <alignment vertical="top"/>
    </xf>
    <xf numFmtId="0" fontId="12" fillId="0" borderId="14" xfId="0" applyNumberFormat="1" applyFont="1" applyFill="1" applyBorder="1" applyAlignment="1">
      <alignment horizontal="center" vertical="top"/>
    </xf>
    <xf numFmtId="0" fontId="12" fillId="0" borderId="24" xfId="0" applyFont="1" applyFill="1" applyBorder="1" applyAlignment="1">
      <alignment vertical="top"/>
    </xf>
    <xf numFmtId="0" fontId="17" fillId="0" borderId="6" xfId="2" applyFont="1" applyFill="1" applyBorder="1" applyAlignment="1">
      <alignment horizontal="right"/>
    </xf>
    <xf numFmtId="0" fontId="15" fillId="0" borderId="23" xfId="0" applyFont="1" applyFill="1" applyBorder="1" applyAlignment="1">
      <alignment vertical="top"/>
    </xf>
    <xf numFmtId="0" fontId="17" fillId="0" borderId="14" xfId="2" applyFont="1" applyFill="1" applyBorder="1" applyAlignment="1">
      <alignment horizontal="right"/>
    </xf>
    <xf numFmtId="0" fontId="12" fillId="0" borderId="18" xfId="0" applyFont="1" applyFill="1" applyBorder="1" applyAlignment="1">
      <alignment vertical="top"/>
    </xf>
    <xf numFmtId="0" fontId="12" fillId="0" borderId="18" xfId="0" applyNumberFormat="1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left" vertical="center"/>
    </xf>
    <xf numFmtId="0" fontId="17" fillId="0" borderId="12" xfId="2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17" fillId="0" borderId="19" xfId="2" applyFont="1" applyFill="1" applyBorder="1" applyAlignment="1">
      <alignment horizontal="right"/>
    </xf>
    <xf numFmtId="0" fontId="19" fillId="0" borderId="17" xfId="2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17" fillId="0" borderId="25" xfId="2" applyFont="1" applyFill="1" applyBorder="1" applyAlignment="1">
      <alignment horizontal="right"/>
    </xf>
    <xf numFmtId="0" fontId="15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top"/>
    </xf>
    <xf numFmtId="0" fontId="0" fillId="0" borderId="6" xfId="0" applyFill="1" applyBorder="1" applyAlignment="1">
      <alignment horizontal="right" vertical="top"/>
    </xf>
    <xf numFmtId="0" fontId="7" fillId="0" borderId="9" xfId="0" applyNumberFormat="1" applyFont="1" applyFill="1" applyBorder="1" applyAlignment="1">
      <alignment horizontal="right" vertical="top"/>
    </xf>
    <xf numFmtId="0" fontId="12" fillId="0" borderId="13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17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right" vertical="top"/>
    </xf>
    <xf numFmtId="0" fontId="10" fillId="0" borderId="12" xfId="0" applyNumberFormat="1" applyFont="1" applyFill="1" applyBorder="1" applyAlignment="1">
      <alignment horizontal="right" vertical="top"/>
    </xf>
    <xf numFmtId="0" fontId="12" fillId="0" borderId="2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center" vertical="top"/>
    </xf>
    <xf numFmtId="0" fontId="12" fillId="0" borderId="7" xfId="0" applyFont="1" applyFill="1" applyBorder="1" applyAlignment="1">
      <alignment vertical="top"/>
    </xf>
    <xf numFmtId="0" fontId="13" fillId="0" borderId="8" xfId="0" applyFont="1" applyFill="1" applyBorder="1" applyAlignment="1">
      <alignment horizontal="left" vertical="top" wrapText="1"/>
    </xf>
    <xf numFmtId="0" fontId="12" fillId="0" borderId="9" xfId="0" applyNumberFormat="1" applyFont="1" applyFill="1" applyBorder="1" applyAlignment="1">
      <alignment horizontal="center" vertical="top"/>
    </xf>
    <xf numFmtId="0" fontId="11" fillId="0" borderId="44" xfId="0" applyFont="1" applyBorder="1" applyAlignment="1">
      <alignment horizontal="left" vertical="center"/>
    </xf>
    <xf numFmtId="0" fontId="0" fillId="0" borderId="25" xfId="0" applyFill="1" applyBorder="1" applyAlignment="1">
      <alignment horizontal="left"/>
    </xf>
    <xf numFmtId="0" fontId="0" fillId="0" borderId="29" xfId="0" applyFill="1" applyBorder="1" applyAlignment="1">
      <alignment horizontal="right"/>
    </xf>
    <xf numFmtId="188" fontId="0" fillId="0" borderId="25" xfId="3" applyNumberFormat="1" applyFont="1" applyFill="1" applyBorder="1" applyAlignment="1">
      <alignment horizontal="left"/>
    </xf>
    <xf numFmtId="2" fontId="5" fillId="0" borderId="17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right" vertical="center"/>
    </xf>
    <xf numFmtId="1" fontId="7" fillId="0" borderId="22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1" fontId="1" fillId="0" borderId="22" xfId="0" applyNumberFormat="1" applyFont="1" applyFill="1" applyBorder="1" applyAlignment="1">
      <alignment horizontal="right" vertical="top"/>
    </xf>
    <xf numFmtId="1" fontId="4" fillId="0" borderId="25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top" wrapText="1"/>
    </xf>
    <xf numFmtId="1" fontId="1" fillId="0" borderId="22" xfId="0" applyNumberFormat="1" applyFont="1" applyFill="1" applyBorder="1" applyAlignment="1">
      <alignment vertical="top"/>
    </xf>
    <xf numFmtId="1" fontId="0" fillId="0" borderId="17" xfId="0" applyNumberFormat="1" applyFill="1" applyBorder="1"/>
    <xf numFmtId="1" fontId="29" fillId="0" borderId="17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11" fillId="0" borderId="46" xfId="0" applyFont="1" applyBorder="1" applyAlignment="1">
      <alignment horizontal="center" vertical="center"/>
    </xf>
    <xf numFmtId="0" fontId="4" fillId="0" borderId="23" xfId="0" applyFont="1" applyBorder="1"/>
    <xf numFmtId="0" fontId="1" fillId="0" borderId="26" xfId="0" applyFont="1" applyBorder="1" applyAlignment="1">
      <alignment horizontal="left" vertical="center"/>
    </xf>
    <xf numFmtId="2" fontId="0" fillId="0" borderId="25" xfId="0" applyNumberFormat="1" applyBorder="1"/>
    <xf numFmtId="0" fontId="1" fillId="0" borderId="17" xfId="0" applyFont="1" applyBorder="1" applyAlignment="1">
      <alignment horizontal="center"/>
    </xf>
    <xf numFmtId="1" fontId="35" fillId="0" borderId="17" xfId="0" applyNumberFormat="1" applyFont="1" applyFill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vertical="top"/>
    </xf>
    <xf numFmtId="2" fontId="29" fillId="0" borderId="17" xfId="0" applyNumberFormat="1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190" fontId="4" fillId="0" borderId="25" xfId="3" applyNumberFormat="1" applyFont="1" applyFill="1" applyBorder="1" applyAlignment="1"/>
    <xf numFmtId="0" fontId="36" fillId="0" borderId="0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6" fillId="0" borderId="0" xfId="0" applyFont="1" applyFill="1"/>
    <xf numFmtId="0" fontId="36" fillId="0" borderId="23" xfId="0" applyFont="1" applyFill="1" applyBorder="1"/>
    <xf numFmtId="0" fontId="37" fillId="0" borderId="17" xfId="0" applyFont="1" applyFill="1" applyBorder="1" applyAlignment="1">
      <alignment horizontal="right"/>
    </xf>
    <xf numFmtId="0" fontId="37" fillId="0" borderId="17" xfId="0" applyFont="1" applyFill="1" applyBorder="1"/>
    <xf numFmtId="0" fontId="36" fillId="0" borderId="11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0" fontId="37" fillId="0" borderId="17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left"/>
    </xf>
    <xf numFmtId="0" fontId="36" fillId="0" borderId="0" xfId="0" applyFont="1" applyFill="1" applyAlignment="1">
      <alignment horizontal="right"/>
    </xf>
    <xf numFmtId="0" fontId="36" fillId="0" borderId="11" xfId="0" applyFont="1" applyFill="1" applyBorder="1"/>
    <xf numFmtId="0" fontId="36" fillId="0" borderId="12" xfId="0" applyFont="1" applyFill="1" applyBorder="1"/>
    <xf numFmtId="0" fontId="36" fillId="0" borderId="24" xfId="0" applyFont="1" applyFill="1" applyBorder="1"/>
    <xf numFmtId="0" fontId="38" fillId="0" borderId="17" xfId="0" applyFont="1" applyFill="1" applyBorder="1" applyAlignment="1">
      <alignment vertical="top"/>
    </xf>
    <xf numFmtId="0" fontId="38" fillId="0" borderId="25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vertical="top"/>
    </xf>
    <xf numFmtId="0" fontId="38" fillId="0" borderId="10" xfId="0" applyFont="1" applyFill="1" applyBorder="1" applyAlignment="1">
      <alignment horizontal="left" vertical="top" wrapText="1"/>
    </xf>
    <xf numFmtId="0" fontId="38" fillId="0" borderId="24" xfId="0" applyFont="1" applyFill="1" applyBorder="1" applyAlignment="1">
      <alignment vertical="top"/>
    </xf>
    <xf numFmtId="0" fontId="36" fillId="0" borderId="21" xfId="0" applyFont="1" applyFill="1" applyBorder="1" applyAlignment="1">
      <alignment horizontal="left"/>
    </xf>
    <xf numFmtId="0" fontId="36" fillId="0" borderId="14" xfId="0" applyFont="1" applyFill="1" applyBorder="1" applyAlignment="1">
      <alignment horizontal="left"/>
    </xf>
    <xf numFmtId="0" fontId="36" fillId="0" borderId="24" xfId="0" applyFont="1" applyFill="1" applyBorder="1" applyAlignment="1">
      <alignment horizontal="left"/>
    </xf>
    <xf numFmtId="0" fontId="36" fillId="0" borderId="23" xfId="0" applyFont="1" applyFill="1" applyBorder="1" applyAlignment="1">
      <alignment horizontal="left"/>
    </xf>
    <xf numFmtId="0" fontId="36" fillId="0" borderId="25" xfId="0" applyFont="1" applyFill="1" applyBorder="1"/>
    <xf numFmtId="2" fontId="39" fillId="0" borderId="23" xfId="0" applyNumberFormat="1" applyFont="1" applyFill="1" applyBorder="1"/>
    <xf numFmtId="2" fontId="39" fillId="0" borderId="19" xfId="0" applyNumberFormat="1" applyFont="1" applyFill="1" applyBorder="1"/>
    <xf numFmtId="0" fontId="30" fillId="0" borderId="17" xfId="0" applyFont="1" applyFill="1" applyBorder="1" applyAlignment="1">
      <alignment horizontal="right" vertical="center"/>
    </xf>
    <xf numFmtId="0" fontId="12" fillId="0" borderId="44" xfId="0" applyFont="1" applyBorder="1" applyAlignment="1">
      <alignment horizontal="left" vertical="center"/>
    </xf>
    <xf numFmtId="0" fontId="30" fillId="0" borderId="17" xfId="0" applyFont="1" applyFill="1" applyBorder="1" applyAlignment="1">
      <alignment horizontal="right" vertical="center" wrapText="1"/>
    </xf>
    <xf numFmtId="0" fontId="35" fillId="0" borderId="17" xfId="0" applyNumberFormat="1" applyFont="1" applyFill="1" applyBorder="1" applyAlignment="1">
      <alignment horizontal="right" vertical="center"/>
    </xf>
    <xf numFmtId="0" fontId="13" fillId="0" borderId="44" xfId="0" applyFont="1" applyBorder="1" applyAlignment="1">
      <alignment horizontal="left" vertical="center"/>
    </xf>
    <xf numFmtId="0" fontId="30" fillId="0" borderId="17" xfId="0" applyFont="1" applyFill="1" applyBorder="1" applyAlignment="1"/>
    <xf numFmtId="0" fontId="30" fillId="0" borderId="17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36" fillId="0" borderId="16" xfId="0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17" fillId="0" borderId="13" xfId="2" applyFont="1" applyFill="1" applyBorder="1" applyAlignment="1">
      <alignment horizontal="right"/>
    </xf>
    <xf numFmtId="0" fontId="36" fillId="0" borderId="2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horizontal="left"/>
    </xf>
    <xf numFmtId="0" fontId="36" fillId="0" borderId="17" xfId="0" applyFont="1" applyFill="1" applyBorder="1" applyAlignment="1">
      <alignment horizontal="left"/>
    </xf>
    <xf numFmtId="0" fontId="17" fillId="0" borderId="17" xfId="2" applyFont="1" applyFill="1" applyBorder="1" applyAlignment="1">
      <alignment horizontal="right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right" vertical="top"/>
    </xf>
    <xf numFmtId="0" fontId="11" fillId="0" borderId="19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35" fillId="0" borderId="22" xfId="0" applyNumberFormat="1" applyFont="1" applyFill="1" applyBorder="1" applyAlignment="1">
      <alignment horizontal="right" vertical="top"/>
    </xf>
    <xf numFmtId="0" fontId="35" fillId="0" borderId="17" xfId="0" applyNumberFormat="1" applyFont="1" applyFill="1" applyBorder="1" applyAlignment="1">
      <alignment horizontal="right" vertical="top"/>
    </xf>
    <xf numFmtId="0" fontId="0" fillId="0" borderId="17" xfId="0" applyFill="1" applyBorder="1" applyAlignment="1">
      <alignment horizontal="left"/>
    </xf>
    <xf numFmtId="0" fontId="30" fillId="0" borderId="17" xfId="0" applyNumberFormat="1" applyFont="1" applyFill="1" applyBorder="1" applyAlignment="1">
      <alignment horizontal="right" vertical="top"/>
    </xf>
    <xf numFmtId="0" fontId="30" fillId="0" borderId="17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35" fillId="0" borderId="13" xfId="0" applyNumberFormat="1" applyFont="1" applyFill="1" applyBorder="1" applyAlignment="1">
      <alignment horizontal="right" vertical="top"/>
    </xf>
    <xf numFmtId="0" fontId="38" fillId="0" borderId="12" xfId="0" applyNumberFormat="1" applyFont="1" applyFill="1" applyBorder="1" applyAlignment="1">
      <alignment horizontal="center" vertical="top"/>
    </xf>
    <xf numFmtId="0" fontId="35" fillId="0" borderId="17" xfId="0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right" vertical="center"/>
    </xf>
    <xf numFmtId="0" fontId="35" fillId="0" borderId="25" xfId="0" applyNumberFormat="1" applyFont="1" applyFill="1" applyBorder="1" applyAlignment="1">
      <alignment horizontal="right" vertical="center"/>
    </xf>
    <xf numFmtId="0" fontId="35" fillId="0" borderId="16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/>
    </xf>
    <xf numFmtId="0" fontId="35" fillId="0" borderId="22" xfId="0" applyNumberFormat="1" applyFont="1" applyFill="1" applyBorder="1" applyAlignment="1">
      <alignment horizontal="right" vertical="center"/>
    </xf>
    <xf numFmtId="0" fontId="35" fillId="0" borderId="16" xfId="0" applyNumberFormat="1" applyFont="1" applyFill="1" applyBorder="1" applyAlignment="1">
      <alignment horizontal="right"/>
    </xf>
    <xf numFmtId="0" fontId="35" fillId="0" borderId="10" xfId="0" applyNumberFormat="1" applyFont="1" applyFill="1" applyBorder="1" applyAlignment="1">
      <alignment horizontal="right"/>
    </xf>
    <xf numFmtId="0" fontId="35" fillId="0" borderId="13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4" fillId="0" borderId="27" xfId="0" applyFont="1" applyFill="1" applyBorder="1"/>
    <xf numFmtId="0" fontId="11" fillId="0" borderId="3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12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top" wrapText="1"/>
    </xf>
    <xf numFmtId="0" fontId="30" fillId="0" borderId="27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left" vertical="center"/>
    </xf>
    <xf numFmtId="0" fontId="19" fillId="0" borderId="19" xfId="2" applyFont="1" applyFill="1" applyBorder="1" applyAlignment="1">
      <alignment horizontal="right"/>
    </xf>
    <xf numFmtId="0" fontId="15" fillId="0" borderId="17" xfId="0" applyFont="1" applyFill="1" applyBorder="1" applyAlignment="1">
      <alignment vertical="top"/>
    </xf>
    <xf numFmtId="0" fontId="14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5" fillId="0" borderId="24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right" vertical="top"/>
    </xf>
    <xf numFmtId="0" fontId="12" fillId="0" borderId="17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36" fillId="0" borderId="15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17" fillId="0" borderId="16" xfId="2" applyFont="1" applyFill="1" applyBorder="1" applyAlignment="1">
      <alignment horizontal="right"/>
    </xf>
    <xf numFmtId="0" fontId="26" fillId="0" borderId="17" xfId="0" applyFont="1" applyBorder="1" applyAlignment="1">
      <alignment horizontal="left" vertical="center"/>
    </xf>
    <xf numFmtId="0" fontId="0" fillId="0" borderId="17" xfId="0" applyFill="1" applyBorder="1" applyAlignment="1">
      <alignment horizontal="right" vertical="top"/>
    </xf>
    <xf numFmtId="0" fontId="0" fillId="0" borderId="17" xfId="0" applyFill="1" applyBorder="1" applyAlignment="1">
      <alignment horizontal="right" vertical="center"/>
    </xf>
    <xf numFmtId="0" fontId="35" fillId="0" borderId="17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top" wrapText="1"/>
    </xf>
    <xf numFmtId="0" fontId="12" fillId="0" borderId="48" xfId="0" applyFont="1" applyBorder="1" applyAlignment="1">
      <alignment horizontal="left"/>
    </xf>
    <xf numFmtId="0" fontId="7" fillId="0" borderId="1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7" fillId="0" borderId="27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center"/>
    </xf>
    <xf numFmtId="0" fontId="0" fillId="0" borderId="24" xfId="0" applyFill="1" applyBorder="1" applyAlignment="1">
      <alignment horizontal="right"/>
    </xf>
    <xf numFmtId="0" fontId="35" fillId="0" borderId="29" xfId="0" applyFont="1" applyFill="1" applyBorder="1" applyAlignment="1">
      <alignment horizontal="right"/>
    </xf>
    <xf numFmtId="1" fontId="11" fillId="0" borderId="19" xfId="0" applyNumberFormat="1" applyFont="1" applyFill="1" applyBorder="1"/>
    <xf numFmtId="1" fontId="30" fillId="0" borderId="17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top"/>
    </xf>
    <xf numFmtId="0" fontId="7" fillId="0" borderId="24" xfId="0" applyNumberFormat="1" applyFont="1" applyFill="1" applyBorder="1" applyAlignment="1">
      <alignment horizontal="right" vertical="top"/>
    </xf>
    <xf numFmtId="0" fontId="26" fillId="0" borderId="19" xfId="0" applyFont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right" vertical="top"/>
    </xf>
    <xf numFmtId="0" fontId="35" fillId="0" borderId="24" xfId="0" applyNumberFormat="1" applyFont="1" applyFill="1" applyBorder="1" applyAlignment="1">
      <alignment horizontal="right" vertical="top"/>
    </xf>
    <xf numFmtId="0" fontId="35" fillId="0" borderId="24" xfId="0" applyFont="1" applyFill="1" applyBorder="1" applyAlignment="1">
      <alignment horizontal="right"/>
    </xf>
    <xf numFmtId="0" fontId="35" fillId="0" borderId="24" xfId="0" applyNumberFormat="1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/>
    </xf>
    <xf numFmtId="0" fontId="26" fillId="0" borderId="1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vertical="center"/>
    </xf>
    <xf numFmtId="0" fontId="42" fillId="0" borderId="17" xfId="2" applyFont="1" applyFill="1" applyBorder="1" applyAlignment="1">
      <alignment horizontal="right"/>
    </xf>
    <xf numFmtId="0" fontId="40" fillId="0" borderId="17" xfId="0" applyFont="1" applyFill="1" applyBorder="1" applyAlignment="1">
      <alignment vertical="top"/>
    </xf>
    <xf numFmtId="0" fontId="12" fillId="0" borderId="49" xfId="0" applyFont="1" applyBorder="1" applyAlignment="1">
      <alignment horizontal="left" vertical="center"/>
    </xf>
    <xf numFmtId="0" fontId="36" fillId="0" borderId="1" xfId="0" applyFont="1" applyFill="1" applyBorder="1"/>
    <xf numFmtId="0" fontId="36" fillId="0" borderId="29" xfId="0" applyFont="1" applyFill="1" applyBorder="1"/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0" borderId="17" xfId="0" applyNumberFormat="1" applyFont="1" applyFill="1" applyBorder="1" applyAlignment="1">
      <alignment horizontal="right" vertical="center"/>
    </xf>
    <xf numFmtId="0" fontId="12" fillId="0" borderId="25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center" vertical="top" wrapText="1"/>
    </xf>
    <xf numFmtId="0" fontId="11" fillId="0" borderId="17" xfId="0" applyFont="1" applyBorder="1"/>
    <xf numFmtId="0" fontId="36" fillId="0" borderId="29" xfId="0" applyFont="1" applyFill="1" applyBorder="1" applyAlignment="1">
      <alignment horizontal="right"/>
    </xf>
    <xf numFmtId="0" fontId="36" fillId="0" borderId="16" xfId="0" applyFont="1" applyFill="1" applyBorder="1" applyAlignment="1">
      <alignment horizontal="right"/>
    </xf>
    <xf numFmtId="0" fontId="0" fillId="0" borderId="24" xfId="0" applyFill="1" applyBorder="1" applyAlignment="1">
      <alignment horizontal="right" vertical="center"/>
    </xf>
    <xf numFmtId="0" fontId="30" fillId="0" borderId="24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35" fillId="0" borderId="39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0" fillId="0" borderId="20" xfId="0" applyFill="1" applyBorder="1" applyAlignment="1">
      <alignment horizontal="right"/>
    </xf>
    <xf numFmtId="43" fontId="4" fillId="0" borderId="17" xfId="3" applyFont="1" applyFill="1" applyBorder="1" applyAlignment="1">
      <alignment horizontal="right"/>
    </xf>
    <xf numFmtId="43" fontId="4" fillId="0" borderId="17" xfId="3" applyFont="1" applyFill="1" applyBorder="1" applyAlignment="1"/>
    <xf numFmtId="0" fontId="13" fillId="0" borderId="19" xfId="0" applyFont="1" applyBorder="1" applyAlignment="1">
      <alignment horizontal="left" vertical="center"/>
    </xf>
    <xf numFmtId="43" fontId="4" fillId="0" borderId="0" xfId="3" applyFont="1" applyFill="1" applyAlignment="1">
      <alignment horizontal="right"/>
    </xf>
    <xf numFmtId="43" fontId="37" fillId="0" borderId="0" xfId="3" applyFont="1" applyFill="1" applyAlignment="1">
      <alignment horizontal="right"/>
    </xf>
    <xf numFmtId="0" fontId="36" fillId="0" borderId="28" xfId="0" applyFont="1" applyFill="1" applyBorder="1"/>
    <xf numFmtId="2" fontId="39" fillId="0" borderId="17" xfId="0" applyNumberFormat="1" applyFont="1" applyFill="1" applyBorder="1"/>
    <xf numFmtId="0" fontId="43" fillId="0" borderId="17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" fontId="4" fillId="0" borderId="29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right"/>
    </xf>
    <xf numFmtId="2" fontId="5" fillId="0" borderId="25" xfId="0" applyNumberFormat="1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vertical="top"/>
    </xf>
    <xf numFmtId="0" fontId="0" fillId="0" borderId="29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0" fillId="0" borderId="1" xfId="0" applyFill="1" applyBorder="1" applyAlignment="1"/>
    <xf numFmtId="0" fontId="1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4" fillId="0" borderId="17" xfId="0" applyNumberFormat="1" applyFont="1" applyFill="1" applyBorder="1"/>
    <xf numFmtId="0" fontId="11" fillId="0" borderId="28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2" borderId="2" xfId="0" applyFill="1" applyBorder="1"/>
    <xf numFmtId="0" fontId="21" fillId="0" borderId="17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1" fillId="0" borderId="51" xfId="0" applyFont="1" applyBorder="1" applyAlignment="1">
      <alignment horizontal="left" vertical="center"/>
    </xf>
    <xf numFmtId="0" fontId="11" fillId="0" borderId="48" xfId="0" applyFont="1" applyBorder="1" applyAlignment="1">
      <alignment horizontal="left"/>
    </xf>
    <xf numFmtId="2" fontId="4" fillId="0" borderId="25" xfId="0" applyNumberFormat="1" applyFont="1" applyFill="1" applyBorder="1"/>
    <xf numFmtId="0" fontId="11" fillId="0" borderId="52" xfId="0" applyFont="1" applyBorder="1" applyAlignment="1">
      <alignment horizontal="left" vertical="center"/>
    </xf>
    <xf numFmtId="2" fontId="0" fillId="0" borderId="17" xfId="0" applyNumberFormat="1" applyFill="1" applyBorder="1" applyAlignment="1">
      <alignment horizontal="right" vertical="center"/>
    </xf>
    <xf numFmtId="0" fontId="11" fillId="0" borderId="51" xfId="0" applyFont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right"/>
    </xf>
    <xf numFmtId="1" fontId="0" fillId="0" borderId="17" xfId="0" applyNumberFormat="1" applyFill="1" applyBorder="1" applyAlignment="1">
      <alignment horizontal="right" vertical="center"/>
    </xf>
    <xf numFmtId="2" fontId="35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center" vertical="top"/>
    </xf>
    <xf numFmtId="0" fontId="11" fillId="0" borderId="17" xfId="0" applyFont="1" applyBorder="1" applyAlignment="1">
      <alignment vertical="top"/>
    </xf>
    <xf numFmtId="2" fontId="29" fillId="0" borderId="17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top"/>
    </xf>
    <xf numFmtId="2" fontId="4" fillId="0" borderId="17" xfId="0" applyNumberFormat="1" applyFont="1" applyBorder="1" applyAlignment="1">
      <alignment horizontal="center" vertical="top"/>
    </xf>
    <xf numFmtId="1" fontId="35" fillId="0" borderId="19" xfId="0" applyNumberFormat="1" applyFont="1" applyBorder="1" applyAlignment="1">
      <alignment horizontal="center" vertical="center"/>
    </xf>
    <xf numFmtId="1" fontId="35" fillId="0" borderId="1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2" fontId="3" fillId="0" borderId="19" xfId="0" applyNumberFormat="1" applyFont="1" applyBorder="1" applyAlignment="1"/>
    <xf numFmtId="1" fontId="35" fillId="0" borderId="6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35" fillId="0" borderId="18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right" vertical="center"/>
    </xf>
    <xf numFmtId="0" fontId="0" fillId="0" borderId="28" xfId="0" applyFill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19" xfId="0" applyFill="1" applyBorder="1" applyAlignment="1">
      <alignment horizontal="right"/>
    </xf>
    <xf numFmtId="0" fontId="1" fillId="0" borderId="2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right" vertical="top"/>
    </xf>
    <xf numFmtId="0" fontId="4" fillId="0" borderId="27" xfId="0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1" fontId="0" fillId="0" borderId="2" xfId="0" applyNumberFormat="1" applyFill="1" applyBorder="1" applyAlignment="1">
      <alignment horizontal="right"/>
    </xf>
    <xf numFmtId="1" fontId="35" fillId="0" borderId="18" xfId="0" applyNumberFormat="1" applyFont="1" applyFill="1" applyBorder="1" applyAlignment="1">
      <alignment horizontal="right" vertical="center"/>
    </xf>
    <xf numFmtId="0" fontId="11" fillId="2" borderId="5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/>
    </xf>
    <xf numFmtId="0" fontId="29" fillId="0" borderId="25" xfId="0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right" vertical="center"/>
    </xf>
    <xf numFmtId="0" fontId="11" fillId="2" borderId="51" xfId="0" applyFont="1" applyFill="1" applyBorder="1" applyAlignment="1">
      <alignment horizontal="left" vertical="center"/>
    </xf>
    <xf numFmtId="1" fontId="29" fillId="0" borderId="25" xfId="0" applyNumberFormat="1" applyFont="1" applyFill="1" applyBorder="1" applyAlignment="1">
      <alignment horizontal="right" vertical="center"/>
    </xf>
    <xf numFmtId="1" fontId="11" fillId="0" borderId="25" xfId="0" applyNumberFormat="1" applyFont="1" applyFill="1" applyBorder="1"/>
    <xf numFmtId="0" fontId="23" fillId="0" borderId="18" xfId="0" applyFont="1" applyFill="1" applyBorder="1"/>
    <xf numFmtId="189" fontId="0" fillId="0" borderId="2" xfId="0" applyNumberFormat="1" applyFill="1" applyBorder="1" applyAlignment="1">
      <alignment horizontal="right"/>
    </xf>
    <xf numFmtId="0" fontId="29" fillId="0" borderId="19" xfId="0" applyFont="1" applyFill="1" applyBorder="1" applyAlignment="1">
      <alignment vertical="top"/>
    </xf>
    <xf numFmtId="2" fontId="29" fillId="0" borderId="2" xfId="0" applyNumberFormat="1" applyFont="1" applyFill="1" applyBorder="1" applyAlignment="1">
      <alignment horizontal="right" vertical="center"/>
    </xf>
    <xf numFmtId="2" fontId="35" fillId="0" borderId="25" xfId="0" applyNumberFormat="1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vertical="center"/>
    </xf>
    <xf numFmtId="1" fontId="35" fillId="0" borderId="17" xfId="0" applyNumberFormat="1" applyFont="1" applyFill="1" applyBorder="1" applyAlignment="1">
      <alignment horizontal="right" vertical="top"/>
    </xf>
    <xf numFmtId="189" fontId="29" fillId="0" borderId="17" xfId="0" applyNumberFormat="1" applyFont="1" applyFill="1" applyBorder="1" applyAlignment="1">
      <alignment horizontal="right" vertical="center"/>
    </xf>
    <xf numFmtId="189" fontId="35" fillId="0" borderId="17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/>
    </xf>
    <xf numFmtId="1" fontId="35" fillId="0" borderId="22" xfId="0" applyNumberFormat="1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vertical="top"/>
    </xf>
    <xf numFmtId="0" fontId="29" fillId="0" borderId="24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top"/>
    </xf>
    <xf numFmtId="0" fontId="29" fillId="0" borderId="25" xfId="0" applyNumberFormat="1" applyFont="1" applyFill="1" applyBorder="1" applyAlignment="1">
      <alignment horizontal="right" vertical="center"/>
    </xf>
    <xf numFmtId="2" fontId="29" fillId="0" borderId="27" xfId="0" applyNumberFormat="1" applyFont="1" applyFill="1" applyBorder="1" applyAlignment="1">
      <alignment horizontal="right" vertical="center"/>
    </xf>
    <xf numFmtId="2" fontId="35" fillId="0" borderId="22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right" vertical="center"/>
    </xf>
    <xf numFmtId="189" fontId="29" fillId="0" borderId="25" xfId="0" applyNumberFormat="1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/>
    </xf>
    <xf numFmtId="0" fontId="30" fillId="0" borderId="24" xfId="0" applyFont="1" applyFill="1" applyBorder="1" applyAlignment="1">
      <alignment horizontal="left" vertical="center"/>
    </xf>
    <xf numFmtId="1" fontId="6" fillId="0" borderId="22" xfId="0" applyNumberFormat="1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left" vertical="center"/>
    </xf>
    <xf numFmtId="189" fontId="35" fillId="0" borderId="22" xfId="0" applyNumberFormat="1" applyFont="1" applyFill="1" applyBorder="1" applyAlignment="1">
      <alignment horizontal="right" vertical="center"/>
    </xf>
    <xf numFmtId="1" fontId="35" fillId="0" borderId="25" xfId="0" applyNumberFormat="1" applyFont="1" applyFill="1" applyBorder="1" applyAlignment="1">
      <alignment horizontal="right" vertical="center"/>
    </xf>
    <xf numFmtId="2" fontId="35" fillId="0" borderId="22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top"/>
    </xf>
    <xf numFmtId="189" fontId="4" fillId="0" borderId="2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top" wrapText="1"/>
    </xf>
    <xf numFmtId="2" fontId="7" fillId="0" borderId="17" xfId="0" applyNumberFormat="1" applyFont="1" applyFill="1" applyBorder="1" applyAlignment="1">
      <alignment horizontal="right" vertical="top"/>
    </xf>
    <xf numFmtId="2" fontId="0" fillId="0" borderId="17" xfId="0" applyNumberFormat="1" applyFill="1" applyBorder="1" applyAlignment="1">
      <alignment horizontal="right" vertical="top"/>
    </xf>
    <xf numFmtId="0" fontId="1" fillId="0" borderId="17" xfId="0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right" vertical="top"/>
    </xf>
    <xf numFmtId="0" fontId="11" fillId="2" borderId="17" xfId="0" applyFont="1" applyFill="1" applyBorder="1" applyAlignment="1">
      <alignment horizontal="left" vertical="center"/>
    </xf>
    <xf numFmtId="1" fontId="35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left" vertical="center"/>
    </xf>
    <xf numFmtId="1" fontId="29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left" vertical="top"/>
    </xf>
    <xf numFmtId="2" fontId="29" fillId="0" borderId="3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right"/>
    </xf>
    <xf numFmtId="1" fontId="11" fillId="0" borderId="17" xfId="0" applyNumberFormat="1" applyFont="1" applyFill="1" applyBorder="1"/>
    <xf numFmtId="0" fontId="35" fillId="0" borderId="25" xfId="0" applyFont="1" applyFill="1" applyBorder="1" applyAlignment="1">
      <alignment vertical="center"/>
    </xf>
    <xf numFmtId="1" fontId="35" fillId="0" borderId="25" xfId="0" applyNumberFormat="1" applyFont="1" applyFill="1" applyBorder="1" applyAlignment="1">
      <alignment horizontal="right" vertical="top"/>
    </xf>
    <xf numFmtId="0" fontId="35" fillId="0" borderId="2" xfId="0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 vertical="top"/>
    </xf>
    <xf numFmtId="0" fontId="26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vertical="top"/>
    </xf>
    <xf numFmtId="0" fontId="2" fillId="0" borderId="17" xfId="0" applyNumberFormat="1" applyFont="1" applyFill="1" applyBorder="1" applyAlignment="1">
      <alignment horizontal="left" vertical="top"/>
    </xf>
    <xf numFmtId="1" fontId="30" fillId="0" borderId="17" xfId="0" applyNumberFormat="1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horizontal="left" vertical="top"/>
    </xf>
    <xf numFmtId="1" fontId="35" fillId="0" borderId="17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/>
    </xf>
    <xf numFmtId="189" fontId="0" fillId="0" borderId="17" xfId="0" applyNumberFormat="1" applyFill="1" applyBorder="1" applyAlignment="1">
      <alignment horizontal="right"/>
    </xf>
    <xf numFmtId="0" fontId="26" fillId="2" borderId="17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right" vertical="center"/>
    </xf>
    <xf numFmtId="0" fontId="7" fillId="0" borderId="19" xfId="0" applyFont="1" applyFill="1" applyBorder="1" applyAlignment="1">
      <alignment vertical="top"/>
    </xf>
    <xf numFmtId="0" fontId="8" fillId="0" borderId="19" xfId="0" applyFont="1" applyFill="1" applyBorder="1" applyAlignment="1">
      <alignment horizontal="left" vertical="top" wrapText="1"/>
    </xf>
    <xf numFmtId="2" fontId="7" fillId="0" borderId="19" xfId="0" applyNumberFormat="1" applyFont="1" applyFill="1" applyBorder="1" applyAlignment="1">
      <alignment horizontal="right" vertical="top"/>
    </xf>
    <xf numFmtId="0" fontId="8" fillId="0" borderId="18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right" vertical="top"/>
    </xf>
    <xf numFmtId="1" fontId="1" fillId="0" borderId="19" xfId="0" applyNumberFormat="1" applyFont="1" applyFill="1" applyBorder="1" applyAlignment="1">
      <alignment horizontal="right" vertical="top"/>
    </xf>
    <xf numFmtId="1" fontId="1" fillId="0" borderId="3" xfId="0" applyNumberFormat="1" applyFont="1" applyFill="1" applyBorder="1" applyAlignment="1">
      <alignment horizontal="right" vertical="top"/>
    </xf>
    <xf numFmtId="1" fontId="1" fillId="0" borderId="19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right" vertical="center"/>
    </xf>
    <xf numFmtId="2" fontId="42" fillId="0" borderId="17" xfId="0" applyNumberFormat="1" applyFont="1" applyFill="1" applyBorder="1"/>
    <xf numFmtId="1" fontId="41" fillId="0" borderId="25" xfId="0" applyNumberFormat="1" applyFont="1" applyFill="1" applyBorder="1"/>
    <xf numFmtId="0" fontId="11" fillId="0" borderId="18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right"/>
    </xf>
    <xf numFmtId="1" fontId="4" fillId="0" borderId="25" xfId="0" applyNumberFormat="1" applyFont="1" applyFill="1" applyBorder="1"/>
    <xf numFmtId="0" fontId="0" fillId="0" borderId="18" xfId="0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23" fillId="0" borderId="17" xfId="0" applyFont="1" applyFill="1" applyBorder="1"/>
    <xf numFmtId="0" fontId="11" fillId="0" borderId="1" xfId="0" applyFont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right" vertical="top"/>
    </xf>
    <xf numFmtId="0" fontId="11" fillId="0" borderId="18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" fontId="0" fillId="0" borderId="27" xfId="0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right" vertical="top"/>
    </xf>
    <xf numFmtId="1" fontId="4" fillId="0" borderId="3" xfId="0" applyNumberFormat="1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top"/>
    </xf>
    <xf numFmtId="2" fontId="0" fillId="0" borderId="17" xfId="0" applyNumberFormat="1" applyFill="1" applyBorder="1" applyAlignment="1">
      <alignment horizontal="right"/>
    </xf>
    <xf numFmtId="0" fontId="11" fillId="4" borderId="48" xfId="0" applyFont="1" applyFill="1" applyBorder="1" applyAlignment="1">
      <alignment horizontal="left"/>
    </xf>
    <xf numFmtId="0" fontId="11" fillId="6" borderId="48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0" fillId="0" borderId="21" xfId="0" applyFill="1" applyBorder="1"/>
    <xf numFmtId="0" fontId="3" fillId="0" borderId="24" xfId="0" applyFont="1" applyFill="1" applyBorder="1" applyAlignment="1">
      <alignment vertical="center"/>
    </xf>
    <xf numFmtId="0" fontId="11" fillId="0" borderId="19" xfId="0" applyFont="1" applyBorder="1" applyAlignment="1">
      <alignment horizontal="center"/>
    </xf>
    <xf numFmtId="0" fontId="35" fillId="0" borderId="25" xfId="0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vertical="center"/>
    </xf>
    <xf numFmtId="0" fontId="2" fillId="0" borderId="21" xfId="1" applyFont="1" applyFill="1" applyBorder="1" applyAlignment="1"/>
    <xf numFmtId="0" fontId="2" fillId="0" borderId="1" xfId="1" applyFont="1" applyFill="1" applyBorder="1" applyAlignment="1"/>
    <xf numFmtId="0" fontId="2" fillId="0" borderId="24" xfId="1" applyFont="1" applyFill="1" applyBorder="1" applyAlignment="1"/>
    <xf numFmtId="0" fontId="1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top"/>
    </xf>
    <xf numFmtId="0" fontId="41" fillId="0" borderId="17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88" fontId="4" fillId="0" borderId="25" xfId="3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35" fillId="0" borderId="3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top"/>
    </xf>
    <xf numFmtId="0" fontId="29" fillId="0" borderId="3" xfId="0" applyFont="1" applyFill="1" applyBorder="1" applyAlignment="1">
      <alignment horizontal="right"/>
    </xf>
    <xf numFmtId="0" fontId="2" fillId="0" borderId="19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9" fillId="0" borderId="26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right"/>
    </xf>
    <xf numFmtId="189" fontId="6" fillId="0" borderId="17" xfId="0" applyNumberFormat="1" applyFont="1" applyFill="1" applyBorder="1" applyAlignment="1">
      <alignment horizontal="right" vertical="center"/>
    </xf>
    <xf numFmtId="189" fontId="41" fillId="3" borderId="19" xfId="0" applyNumberFormat="1" applyFont="1" applyFill="1" applyBorder="1" applyAlignment="1">
      <alignment horizontal="right"/>
    </xf>
    <xf numFmtId="189" fontId="41" fillId="4" borderId="17" xfId="0" applyNumberFormat="1" applyFont="1" applyFill="1" applyBorder="1" applyAlignment="1">
      <alignment horizontal="right"/>
    </xf>
    <xf numFmtId="189" fontId="41" fillId="6" borderId="17" xfId="0" applyNumberFormat="1" applyFont="1" applyFill="1" applyBorder="1" applyAlignment="1">
      <alignment horizontal="right"/>
    </xf>
    <xf numFmtId="189" fontId="41" fillId="0" borderId="17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 vertical="center"/>
    </xf>
    <xf numFmtId="189" fontId="6" fillId="0" borderId="18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2" fontId="6" fillId="0" borderId="22" xfId="0" applyNumberFormat="1" applyFont="1" applyFill="1" applyBorder="1" applyAlignment="1">
      <alignment horizontal="right" vertical="center"/>
    </xf>
    <xf numFmtId="1" fontId="0" fillId="0" borderId="17" xfId="0" applyNumberFormat="1" applyFill="1" applyBorder="1" applyAlignment="1">
      <alignment horizontal="right"/>
    </xf>
    <xf numFmtId="2" fontId="6" fillId="0" borderId="17" xfId="0" applyNumberFormat="1" applyFon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 vertical="center"/>
    </xf>
    <xf numFmtId="2" fontId="4" fillId="0" borderId="19" xfId="0" applyNumberFormat="1" applyFont="1" applyFill="1" applyBorder="1" applyAlignment="1">
      <alignment horizontal="left" vertical="center"/>
    </xf>
    <xf numFmtId="0" fontId="11" fillId="0" borderId="54" xfId="0" applyFont="1" applyBorder="1" applyAlignment="1">
      <alignment horizontal="left"/>
    </xf>
    <xf numFmtId="0" fontId="11" fillId="0" borderId="55" xfId="0" applyFont="1" applyFill="1" applyBorder="1" applyAlignment="1">
      <alignment horizontal="center"/>
    </xf>
    <xf numFmtId="0" fontId="0" fillId="0" borderId="55" xfId="0" applyFill="1" applyBorder="1" applyAlignment="1">
      <alignment horizontal="right"/>
    </xf>
    <xf numFmtId="0" fontId="11" fillId="0" borderId="55" xfId="0" applyFont="1" applyBorder="1" applyAlignment="1">
      <alignment horizontal="left"/>
    </xf>
    <xf numFmtId="0" fontId="4" fillId="0" borderId="26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center" vertical="top"/>
    </xf>
    <xf numFmtId="2" fontId="6" fillId="0" borderId="55" xfId="0" applyNumberFormat="1" applyFont="1" applyFill="1" applyBorder="1" applyAlignment="1">
      <alignment horizontal="right" vertical="top"/>
    </xf>
    <xf numFmtId="0" fontId="11" fillId="0" borderId="56" xfId="0" applyFont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2" fontId="4" fillId="0" borderId="53" xfId="0" applyNumberFormat="1" applyFont="1" applyFill="1" applyBorder="1" applyAlignment="1">
      <alignment horizontal="right" vertical="center"/>
    </xf>
    <xf numFmtId="2" fontId="4" fillId="0" borderId="53" xfId="0" applyNumberFormat="1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center"/>
    </xf>
    <xf numFmtId="1" fontId="6" fillId="0" borderId="58" xfId="0" applyNumberFormat="1" applyFont="1" applyFill="1" applyBorder="1" applyAlignment="1">
      <alignment horizontal="right" vertical="center"/>
    </xf>
    <xf numFmtId="0" fontId="0" fillId="0" borderId="55" xfId="0" applyFill="1" applyBorder="1" applyAlignment="1">
      <alignment vertical="center"/>
    </xf>
    <xf numFmtId="0" fontId="11" fillId="5" borderId="56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center"/>
    </xf>
    <xf numFmtId="2" fontId="41" fillId="5" borderId="3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 vertical="center"/>
    </xf>
    <xf numFmtId="0" fontId="4" fillId="0" borderId="57" xfId="0" applyFont="1" applyFill="1" applyBorder="1"/>
    <xf numFmtId="0" fontId="0" fillId="0" borderId="53" xfId="0" applyFill="1" applyBorder="1" applyAlignment="1">
      <alignment horizontal="center"/>
    </xf>
    <xf numFmtId="189" fontId="4" fillId="0" borderId="53" xfId="0" applyNumberFormat="1" applyFont="1" applyFill="1" applyBorder="1" applyAlignment="1">
      <alignment horizontal="right"/>
    </xf>
    <xf numFmtId="0" fontId="0" fillId="0" borderId="58" xfId="0" applyFill="1" applyBorder="1" applyAlignment="1">
      <alignment horizontal="right" vertical="center"/>
    </xf>
    <xf numFmtId="0" fontId="0" fillId="0" borderId="58" xfId="0" applyFill="1" applyBorder="1" applyAlignment="1">
      <alignment horizontal="left"/>
    </xf>
    <xf numFmtId="0" fontId="0" fillId="0" borderId="58" xfId="0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1" fontId="4" fillId="0" borderId="61" xfId="0" applyNumberFormat="1" applyFont="1" applyFill="1" applyBorder="1" applyAlignment="1">
      <alignment horizontal="left"/>
    </xf>
    <xf numFmtId="0" fontId="0" fillId="0" borderId="61" xfId="0" applyFill="1" applyBorder="1" applyAlignment="1">
      <alignment horizontal="center"/>
    </xf>
    <xf numFmtId="2" fontId="4" fillId="0" borderId="62" xfId="0" applyNumberFormat="1" applyFont="1" applyFill="1" applyBorder="1" applyAlignment="1">
      <alignment horizontal="right"/>
    </xf>
    <xf numFmtId="0" fontId="29" fillId="0" borderId="19" xfId="0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horizontal="left" vertical="top"/>
    </xf>
    <xf numFmtId="187" fontId="29" fillId="0" borderId="27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2" fontId="4" fillId="0" borderId="59" xfId="0" applyNumberFormat="1" applyFont="1" applyFill="1" applyBorder="1" applyAlignment="1">
      <alignment horizontal="right" vertical="center"/>
    </xf>
    <xf numFmtId="0" fontId="0" fillId="0" borderId="58" xfId="0" applyFill="1" applyBorder="1" applyAlignment="1">
      <alignment horizontal="right"/>
    </xf>
    <xf numFmtId="0" fontId="11" fillId="0" borderId="55" xfId="0" applyFont="1" applyBorder="1" applyAlignment="1">
      <alignment horizontal="center"/>
    </xf>
    <xf numFmtId="2" fontId="0" fillId="0" borderId="3" xfId="0" applyNumberFormat="1" applyFill="1" applyBorder="1" applyAlignment="1">
      <alignment horizontal="right"/>
    </xf>
    <xf numFmtId="0" fontId="4" fillId="0" borderId="19" xfId="0" applyFont="1" applyFill="1" applyBorder="1" applyAlignment="1">
      <alignment vertical="center"/>
    </xf>
    <xf numFmtId="189" fontId="4" fillId="0" borderId="27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4" fillId="0" borderId="53" xfId="0" applyFont="1" applyFill="1" applyBorder="1"/>
    <xf numFmtId="0" fontId="10" fillId="0" borderId="27" xfId="0" applyFont="1" applyFill="1" applyBorder="1" applyAlignment="1">
      <alignment horizontal="center" vertical="top"/>
    </xf>
    <xf numFmtId="188" fontId="4" fillId="0" borderId="27" xfId="3" applyNumberFormat="1" applyFont="1" applyFill="1" applyBorder="1" applyAlignment="1">
      <alignment horizontal="right"/>
    </xf>
    <xf numFmtId="43" fontId="0" fillId="0" borderId="27" xfId="3" applyFont="1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5" xfId="0" applyFill="1" applyBorder="1" applyAlignment="1">
      <alignment horizontal="center"/>
    </xf>
    <xf numFmtId="0" fontId="4" fillId="0" borderId="26" xfId="0" applyFont="1" applyFill="1" applyBorder="1"/>
    <xf numFmtId="2" fontId="29" fillId="0" borderId="19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left" vertical="top"/>
    </xf>
    <xf numFmtId="0" fontId="30" fillId="0" borderId="19" xfId="1" applyFont="1" applyFill="1" applyBorder="1" applyAlignment="1">
      <alignment vertical="center"/>
    </xf>
    <xf numFmtId="0" fontId="30" fillId="0" borderId="19" xfId="1" applyFont="1" applyFill="1" applyBorder="1" applyAlignment="1"/>
    <xf numFmtId="0" fontId="1" fillId="0" borderId="53" xfId="0" applyFont="1" applyFill="1" applyBorder="1" applyAlignment="1">
      <alignment horizontal="center" vertical="top"/>
    </xf>
    <xf numFmtId="0" fontId="29" fillId="0" borderId="53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left" vertical="top"/>
    </xf>
    <xf numFmtId="0" fontId="35" fillId="0" borderId="55" xfId="0" applyFont="1" applyFill="1" applyBorder="1" applyAlignment="1">
      <alignment horizontal="right" vertical="center"/>
    </xf>
    <xf numFmtId="0" fontId="1" fillId="0" borderId="55" xfId="0" applyFont="1" applyFill="1" applyBorder="1" applyAlignment="1">
      <alignment horizontal="right" vertical="top"/>
    </xf>
    <xf numFmtId="2" fontId="29" fillId="0" borderId="53" xfId="0" applyNumberFormat="1" applyFont="1" applyFill="1" applyBorder="1" applyAlignment="1">
      <alignment horizontal="right" vertical="center"/>
    </xf>
    <xf numFmtId="2" fontId="3" fillId="0" borderId="53" xfId="0" applyNumberFormat="1" applyFont="1" applyFill="1" applyBorder="1" applyAlignment="1">
      <alignment horizontal="left" vertical="top"/>
    </xf>
    <xf numFmtId="0" fontId="0" fillId="0" borderId="58" xfId="0" applyFill="1" applyBorder="1"/>
    <xf numFmtId="2" fontId="0" fillId="0" borderId="58" xfId="0" applyNumberFormat="1" applyFill="1" applyBorder="1" applyAlignment="1">
      <alignment horizontal="right"/>
    </xf>
    <xf numFmtId="2" fontId="0" fillId="0" borderId="55" xfId="0" applyNumberFormat="1" applyFill="1" applyBorder="1" applyAlignment="1">
      <alignment horizontal="right"/>
    </xf>
    <xf numFmtId="0" fontId="30" fillId="0" borderId="53" xfId="1" applyFont="1" applyFill="1" applyBorder="1" applyAlignment="1">
      <alignment vertical="center"/>
    </xf>
    <xf numFmtId="0" fontId="2" fillId="0" borderId="53" xfId="1" applyFont="1" applyFill="1" applyBorder="1" applyAlignment="1">
      <alignment horizontal="center"/>
    </xf>
    <xf numFmtId="0" fontId="0" fillId="0" borderId="53" xfId="0" applyFill="1" applyBorder="1" applyAlignment="1">
      <alignment horizontal="left"/>
    </xf>
    <xf numFmtId="0" fontId="2" fillId="0" borderId="58" xfId="1" applyFont="1" applyFill="1" applyBorder="1" applyAlignment="1"/>
    <xf numFmtId="0" fontId="2" fillId="0" borderId="55" xfId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right"/>
    </xf>
    <xf numFmtId="43" fontId="4" fillId="0" borderId="27" xfId="3" applyFont="1" applyFill="1" applyBorder="1" applyAlignment="1">
      <alignment horizontal="right"/>
    </xf>
    <xf numFmtId="0" fontId="2" fillId="0" borderId="58" xfId="1" applyFont="1" applyFill="1" applyBorder="1" applyAlignment="1">
      <alignment horizontal="center"/>
    </xf>
    <xf numFmtId="0" fontId="35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top"/>
    </xf>
    <xf numFmtId="0" fontId="1" fillId="0" borderId="55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0" fontId="1" fillId="0" borderId="55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top"/>
    </xf>
    <xf numFmtId="0" fontId="0" fillId="0" borderId="55" xfId="0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188" fontId="0" fillId="0" borderId="19" xfId="3" applyNumberFormat="1" applyFont="1" applyFill="1" applyBorder="1" applyAlignment="1">
      <alignment horizontal="left"/>
    </xf>
    <xf numFmtId="0" fontId="0" fillId="0" borderId="63" xfId="0" applyFill="1" applyBorder="1" applyAlignment="1">
      <alignment vertical="center"/>
    </xf>
    <xf numFmtId="0" fontId="6" fillId="0" borderId="5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/>
    </xf>
    <xf numFmtId="0" fontId="30" fillId="0" borderId="26" xfId="1" applyFont="1" applyFill="1" applyBorder="1" applyAlignment="1">
      <alignment vertical="center"/>
    </xf>
    <xf numFmtId="0" fontId="0" fillId="0" borderId="60" xfId="0" applyFill="1" applyBorder="1"/>
    <xf numFmtId="0" fontId="0" fillId="0" borderId="64" xfId="0" applyFill="1" applyBorder="1" applyAlignment="1">
      <alignment horizontal="center" vertical="center"/>
    </xf>
    <xf numFmtId="0" fontId="35" fillId="0" borderId="58" xfId="0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left" vertical="top"/>
    </xf>
    <xf numFmtId="0" fontId="1" fillId="0" borderId="58" xfId="0" applyFont="1" applyFill="1" applyBorder="1" applyAlignment="1">
      <alignment horizontal="right" vertical="top"/>
    </xf>
    <xf numFmtId="0" fontId="29" fillId="0" borderId="53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top"/>
    </xf>
    <xf numFmtId="0" fontId="30" fillId="0" borderId="57" xfId="1" applyFont="1" applyFill="1" applyBorder="1" applyAlignment="1">
      <alignment vertical="center"/>
    </xf>
    <xf numFmtId="0" fontId="46" fillId="0" borderId="53" xfId="0" applyFont="1" applyFill="1" applyBorder="1" applyAlignment="1">
      <alignment horizontal="left"/>
    </xf>
    <xf numFmtId="0" fontId="2" fillId="0" borderId="63" xfId="1" applyFont="1" applyFill="1" applyBorder="1" applyAlignment="1"/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188" fontId="0" fillId="0" borderId="27" xfId="3" applyNumberFormat="1" applyFont="1" applyFill="1" applyBorder="1" applyAlignment="1">
      <alignment horizontal="left"/>
    </xf>
    <xf numFmtId="0" fontId="0" fillId="0" borderId="58" xfId="0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right" vertical="center"/>
    </xf>
    <xf numFmtId="0" fontId="0" fillId="0" borderId="64" xfId="0" applyFill="1" applyBorder="1" applyAlignment="1">
      <alignment vertical="center"/>
    </xf>
    <xf numFmtId="0" fontId="1" fillId="0" borderId="58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left"/>
    </xf>
    <xf numFmtId="0" fontId="35" fillId="0" borderId="60" xfId="0" applyFont="1" applyFill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59" xfId="0" applyFill="1" applyBorder="1" applyAlignment="1">
      <alignment horizontal="left"/>
    </xf>
    <xf numFmtId="0" fontId="0" fillId="0" borderId="63" xfId="0" applyFill="1" applyBorder="1"/>
    <xf numFmtId="0" fontId="0" fillId="0" borderId="65" xfId="0" applyFill="1" applyBorder="1" applyAlignment="1">
      <alignment horizontal="right"/>
    </xf>
    <xf numFmtId="0" fontId="0" fillId="0" borderId="66" xfId="0" applyFill="1" applyBorder="1" applyAlignment="1">
      <alignment horizontal="center" vertical="center"/>
    </xf>
    <xf numFmtId="0" fontId="0" fillId="0" borderId="66" xfId="0" applyFill="1" applyBorder="1" applyAlignment="1">
      <alignment horizontal="right"/>
    </xf>
    <xf numFmtId="0" fontId="30" fillId="0" borderId="57" xfId="1" applyFont="1" applyFill="1" applyBorder="1" applyAlignment="1"/>
    <xf numFmtId="0" fontId="2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189" fontId="0" fillId="0" borderId="3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3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/>
    </xf>
    <xf numFmtId="0" fontId="1" fillId="0" borderId="53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left"/>
    </xf>
    <xf numFmtId="0" fontId="0" fillId="0" borderId="55" xfId="0" applyFill="1" applyBorder="1"/>
    <xf numFmtId="0" fontId="0" fillId="0" borderId="53" xfId="0" applyFill="1" applyBorder="1"/>
    <xf numFmtId="0" fontId="1" fillId="0" borderId="53" xfId="0" applyFont="1" applyFill="1" applyBorder="1" applyAlignment="1">
      <alignment vertical="top"/>
    </xf>
    <xf numFmtId="0" fontId="26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center" vertical="top"/>
    </xf>
    <xf numFmtId="0" fontId="0" fillId="0" borderId="53" xfId="0" applyFill="1" applyBorder="1" applyAlignment="1">
      <alignment vertical="center"/>
    </xf>
    <xf numFmtId="0" fontId="7" fillId="0" borderId="55" xfId="0" applyFont="1" applyFill="1" applyBorder="1" applyAlignment="1">
      <alignment vertical="top"/>
    </xf>
    <xf numFmtId="0" fontId="1" fillId="0" borderId="55" xfId="0" applyFont="1" applyFill="1" applyBorder="1" applyAlignment="1">
      <alignment vertical="top"/>
    </xf>
    <xf numFmtId="0" fontId="4" fillId="2" borderId="53" xfId="0" applyFont="1" applyFill="1" applyBorder="1"/>
    <xf numFmtId="0" fontId="4" fillId="0" borderId="53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1" fillId="0" borderId="63" xfId="0" applyFont="1" applyFill="1" applyBorder="1" applyAlignment="1">
      <alignment horizontal="left"/>
    </xf>
    <xf numFmtId="0" fontId="11" fillId="0" borderId="65" xfId="0" applyFont="1" applyFill="1" applyBorder="1" applyAlignment="1">
      <alignment horizontal="center"/>
    </xf>
    <xf numFmtId="188" fontId="4" fillId="0" borderId="19" xfId="3" applyNumberFormat="1" applyFont="1" applyFill="1" applyBorder="1"/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2" fontId="11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0" fillId="0" borderId="17" xfId="0" applyNumberFormat="1" applyBorder="1"/>
    <xf numFmtId="2" fontId="1" fillId="0" borderId="3" xfId="0" applyNumberFormat="1" applyFont="1" applyBorder="1" applyAlignment="1">
      <alignment horizontal="center" vertical="top"/>
    </xf>
    <xf numFmtId="0" fontId="26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right"/>
    </xf>
    <xf numFmtId="0" fontId="4" fillId="0" borderId="19" xfId="0" applyFont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0" fontId="0" fillId="0" borderId="53" xfId="0" applyBorder="1"/>
    <xf numFmtId="0" fontId="4" fillId="0" borderId="53" xfId="0" applyFont="1" applyBorder="1" applyAlignment="1">
      <alignment horizontal="right" vertical="center"/>
    </xf>
    <xf numFmtId="0" fontId="26" fillId="0" borderId="55" xfId="0" applyFont="1" applyBorder="1" applyAlignment="1">
      <alignment horizontal="left"/>
    </xf>
    <xf numFmtId="0" fontId="0" fillId="0" borderId="55" xfId="0" applyBorder="1"/>
    <xf numFmtId="0" fontId="29" fillId="0" borderId="53" xfId="0" applyFont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34" fillId="0" borderId="53" xfId="1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2" fontId="4" fillId="0" borderId="53" xfId="0" applyNumberFormat="1" applyFont="1" applyBorder="1" applyAlignment="1">
      <alignment vertical="center"/>
    </xf>
    <xf numFmtId="0" fontId="7" fillId="0" borderId="55" xfId="0" applyFont="1" applyBorder="1" applyAlignment="1">
      <alignment vertical="top"/>
    </xf>
    <xf numFmtId="0" fontId="7" fillId="0" borderId="55" xfId="0" applyFont="1" applyBorder="1" applyAlignment="1">
      <alignment horizontal="center" vertical="top"/>
    </xf>
    <xf numFmtId="0" fontId="1" fillId="0" borderId="55" xfId="0" applyFont="1" applyBorder="1" applyAlignment="1">
      <alignment vertical="top"/>
    </xf>
    <xf numFmtId="0" fontId="1" fillId="0" borderId="55" xfId="0" applyFont="1" applyBorder="1" applyAlignment="1">
      <alignment horizontal="center" vertical="top"/>
    </xf>
    <xf numFmtId="0" fontId="1" fillId="0" borderId="58" xfId="0" applyFont="1" applyBorder="1" applyAlignment="1">
      <alignment vertical="top"/>
    </xf>
    <xf numFmtId="0" fontId="1" fillId="0" borderId="58" xfId="0" applyFont="1" applyBorder="1" applyAlignment="1">
      <alignment horizontal="center" vertical="top"/>
    </xf>
    <xf numFmtId="188" fontId="4" fillId="0" borderId="19" xfId="3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1" fontId="4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0" fillId="0" borderId="53" xfId="0" applyBorder="1" applyAlignment="1">
      <alignment horizontal="right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right"/>
    </xf>
    <xf numFmtId="2" fontId="1" fillId="0" borderId="55" xfId="0" applyNumberFormat="1" applyFont="1" applyBorder="1" applyAlignment="1">
      <alignment horizontal="right" vertical="top"/>
    </xf>
    <xf numFmtId="2" fontId="1" fillId="0" borderId="19" xfId="0" applyNumberFormat="1" applyFont="1" applyBorder="1" applyAlignment="1">
      <alignment horizontal="right" vertical="center"/>
    </xf>
    <xf numFmtId="0" fontId="35" fillId="0" borderId="3" xfId="0" applyFont="1" applyFill="1" applyBorder="1"/>
    <xf numFmtId="0" fontId="26" fillId="0" borderId="55" xfId="0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top"/>
    </xf>
    <xf numFmtId="1" fontId="35" fillId="0" borderId="3" xfId="0" applyNumberFormat="1" applyFont="1" applyFill="1" applyBorder="1" applyAlignment="1">
      <alignment horizontal="right" vertical="center"/>
    </xf>
    <xf numFmtId="2" fontId="3" fillId="0" borderId="53" xfId="0" applyNumberFormat="1" applyFont="1" applyFill="1" applyBorder="1" applyAlignment="1">
      <alignment horizontal="center" vertical="top"/>
    </xf>
    <xf numFmtId="2" fontId="1" fillId="0" borderId="55" xfId="0" applyNumberFormat="1" applyFont="1" applyFill="1" applyBorder="1" applyAlignment="1">
      <alignment horizontal="center" vertical="top"/>
    </xf>
    <xf numFmtId="0" fontId="26" fillId="0" borderId="3" xfId="0" applyFont="1" applyFill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2" fontId="4" fillId="0" borderId="61" xfId="0" applyNumberFormat="1" applyFont="1" applyBorder="1" applyAlignment="1">
      <alignment vertical="center"/>
    </xf>
    <xf numFmtId="2" fontId="35" fillId="0" borderId="18" xfId="0" applyNumberFormat="1" applyFont="1" applyBorder="1" applyAlignment="1">
      <alignment horizontal="right" vertical="center"/>
    </xf>
    <xf numFmtId="2" fontId="35" fillId="0" borderId="58" xfId="0" applyNumberFormat="1" applyFont="1" applyBorder="1" applyAlignment="1">
      <alignment horizontal="right" vertical="center"/>
    </xf>
    <xf numFmtId="2" fontId="0" fillId="0" borderId="19" xfId="0" applyNumberForma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right" vertical="top"/>
    </xf>
    <xf numFmtId="0" fontId="1" fillId="0" borderId="5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top"/>
    </xf>
    <xf numFmtId="2" fontId="0" fillId="0" borderId="53" xfId="0" applyNumberFormat="1" applyFill="1" applyBorder="1" applyAlignment="1">
      <alignment horizontal="center" vertical="center"/>
    </xf>
    <xf numFmtId="2" fontId="35" fillId="0" borderId="55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vertical="top"/>
    </xf>
    <xf numFmtId="2" fontId="4" fillId="0" borderId="53" xfId="0" applyNumberFormat="1" applyFont="1" applyFill="1" applyBorder="1" applyAlignment="1">
      <alignment vertical="center"/>
    </xf>
    <xf numFmtId="2" fontId="0" fillId="0" borderId="55" xfId="0" applyNumberFormat="1" applyFill="1" applyBorder="1" applyAlignment="1">
      <alignment horizontal="right" vertical="center"/>
    </xf>
    <xf numFmtId="0" fontId="29" fillId="2" borderId="19" xfId="0" applyFont="1" applyFill="1" applyBorder="1" applyAlignment="1">
      <alignment vertical="center"/>
    </xf>
    <xf numFmtId="0" fontId="29" fillId="2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center"/>
    </xf>
    <xf numFmtId="0" fontId="35" fillId="0" borderId="5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2" fontId="6" fillId="0" borderId="55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right" vertical="center"/>
    </xf>
    <xf numFmtId="0" fontId="4" fillId="2" borderId="53" xfId="0" applyFont="1" applyFill="1" applyBorder="1" applyAlignment="1">
      <alignment vertical="center"/>
    </xf>
    <xf numFmtId="2" fontId="4" fillId="0" borderId="53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43" fontId="4" fillId="0" borderId="17" xfId="3" applyFont="1" applyFill="1" applyBorder="1"/>
    <xf numFmtId="0" fontId="1" fillId="0" borderId="24" xfId="0" applyFont="1" applyFill="1" applyBorder="1" applyAlignment="1">
      <alignment vertical="top"/>
    </xf>
    <xf numFmtId="1" fontId="4" fillId="0" borderId="27" xfId="0" applyNumberFormat="1" applyFont="1" applyFill="1" applyBorder="1" applyAlignment="1">
      <alignment horizontal="right" vertical="center"/>
    </xf>
    <xf numFmtId="189" fontId="6" fillId="0" borderId="3" xfId="0" applyNumberFormat="1" applyFont="1" applyFill="1" applyBorder="1" applyAlignment="1">
      <alignment horizontal="right"/>
    </xf>
    <xf numFmtId="0" fontId="26" fillId="0" borderId="18" xfId="0" applyFont="1" applyFill="1" applyBorder="1"/>
    <xf numFmtId="0" fontId="1" fillId="0" borderId="21" xfId="0" applyFont="1" applyFill="1" applyBorder="1" applyAlignment="1">
      <alignment vertical="top"/>
    </xf>
    <xf numFmtId="0" fontId="26" fillId="0" borderId="21" xfId="0" applyFont="1" applyFill="1" applyBorder="1"/>
    <xf numFmtId="0" fontId="1" fillId="0" borderId="26" xfId="0" applyFont="1" applyFill="1" applyBorder="1" applyAlignment="1">
      <alignment vertical="top"/>
    </xf>
    <xf numFmtId="0" fontId="6" fillId="0" borderId="19" xfId="0" applyFont="1" applyFill="1" applyBorder="1" applyAlignment="1">
      <alignment horizontal="right"/>
    </xf>
    <xf numFmtId="0" fontId="1" fillId="0" borderId="28" xfId="0" applyFont="1" applyFill="1" applyBorder="1" applyAlignment="1">
      <alignment vertical="top"/>
    </xf>
    <xf numFmtId="0" fontId="26" fillId="0" borderId="0" xfId="0" applyFont="1" applyFill="1" applyBorder="1"/>
    <xf numFmtId="0" fontId="0" fillId="0" borderId="27" xfId="0" applyBorder="1" applyAlignment="1">
      <alignment vertical="center"/>
    </xf>
    <xf numFmtId="1" fontId="4" fillId="0" borderId="19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189" fontId="4" fillId="0" borderId="19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1" fillId="0" borderId="26" xfId="0" applyFont="1" applyFill="1" applyBorder="1" applyAlignment="1">
      <alignment vertical="center"/>
    </xf>
    <xf numFmtId="0" fontId="26" fillId="0" borderId="3" xfId="0" applyFont="1" applyFill="1" applyBorder="1"/>
    <xf numFmtId="0" fontId="4" fillId="0" borderId="18" xfId="0" applyFont="1" applyBorder="1" applyAlignment="1">
      <alignment horizontal="right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25" fillId="0" borderId="17" xfId="0" applyFont="1" applyBorder="1"/>
    <xf numFmtId="0" fontId="0" fillId="0" borderId="22" xfId="0" applyBorder="1" applyAlignment="1">
      <alignment horizontal="right"/>
    </xf>
    <xf numFmtId="1" fontId="6" fillId="0" borderId="0" xfId="0" applyNumberFormat="1" applyFont="1" applyBorder="1" applyAlignment="1">
      <alignment horizontal="right" vertical="center"/>
    </xf>
    <xf numFmtId="0" fontId="0" fillId="0" borderId="21" xfId="0" applyBorder="1"/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/>
    </xf>
    <xf numFmtId="1" fontId="6" fillId="0" borderId="19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6" fillId="0" borderId="27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7" fillId="0" borderId="0" xfId="0" applyFont="1" applyFill="1"/>
    <xf numFmtId="0" fontId="32" fillId="0" borderId="0" xfId="0" applyFont="1" applyFill="1"/>
    <xf numFmtId="0" fontId="32" fillId="0" borderId="25" xfId="0" applyFont="1" applyBorder="1"/>
    <xf numFmtId="0" fontId="1" fillId="0" borderId="17" xfId="0" applyFont="1" applyBorder="1" applyAlignment="1"/>
    <xf numFmtId="1" fontId="6" fillId="0" borderId="3" xfId="0" applyNumberFormat="1" applyFont="1" applyBorder="1" applyAlignment="1">
      <alignment horizontal="right"/>
    </xf>
    <xf numFmtId="0" fontId="0" fillId="0" borderId="0" xfId="0" applyAlignment="1"/>
    <xf numFmtId="0" fontId="11" fillId="0" borderId="19" xfId="0" applyFont="1" applyFill="1" applyBorder="1"/>
    <xf numFmtId="0" fontId="0" fillId="0" borderId="19" xfId="0" applyBorder="1" applyAlignment="1">
      <alignment horizontal="left" vertical="center"/>
    </xf>
    <xf numFmtId="1" fontId="6" fillId="0" borderId="25" xfId="0" applyNumberFormat="1" applyFont="1" applyBorder="1" applyAlignment="1">
      <alignment horizontal="right" vertical="center"/>
    </xf>
    <xf numFmtId="0" fontId="1" fillId="0" borderId="3" xfId="0" applyFont="1" applyBorder="1" applyAlignment="1"/>
    <xf numFmtId="0" fontId="47" fillId="0" borderId="24" xfId="0" applyFont="1" applyFill="1" applyBorder="1"/>
    <xf numFmtId="1" fontId="6" fillId="0" borderId="19" xfId="0" applyNumberFormat="1" applyFont="1" applyBorder="1" applyAlignment="1">
      <alignment horizontal="right"/>
    </xf>
    <xf numFmtId="189" fontId="6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/>
    </xf>
    <xf numFmtId="0" fontId="32" fillId="0" borderId="23" xfId="0" applyFont="1" applyBorder="1"/>
    <xf numFmtId="0" fontId="1" fillId="0" borderId="27" xfId="0" applyFont="1" applyBorder="1" applyAlignment="1">
      <alignment vertical="top"/>
    </xf>
    <xf numFmtId="0" fontId="47" fillId="0" borderId="23" xfId="0" applyFont="1" applyFill="1" applyBorder="1"/>
    <xf numFmtId="0" fontId="47" fillId="0" borderId="24" xfId="0" applyFont="1" applyFill="1" applyBorder="1" applyAlignment="1">
      <alignment vertical="center"/>
    </xf>
    <xf numFmtId="0" fontId="32" fillId="0" borderId="23" xfId="0" applyFont="1" applyFill="1" applyBorder="1"/>
    <xf numFmtId="0" fontId="32" fillId="0" borderId="24" xfId="0" applyFont="1" applyFill="1" applyBorder="1" applyAlignment="1">
      <alignment vertical="top"/>
    </xf>
    <xf numFmtId="0" fontId="47" fillId="0" borderId="23" xfId="0" applyFont="1" applyFill="1" applyBorder="1" applyAlignment="1">
      <alignment vertical="center"/>
    </xf>
    <xf numFmtId="0" fontId="47" fillId="0" borderId="24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Fill="1" applyBorder="1" applyAlignment="1"/>
    <xf numFmtId="0" fontId="0" fillId="0" borderId="24" xfId="0" applyFill="1" applyBorder="1" applyAlignment="1">
      <alignment horizontal="left" vertical="center"/>
    </xf>
    <xf numFmtId="2" fontId="6" fillId="0" borderId="17" xfId="0" applyNumberFormat="1" applyFont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0" fontId="32" fillId="0" borderId="0" xfId="0" applyFont="1"/>
    <xf numFmtId="1" fontId="6" fillId="0" borderId="2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7" fillId="0" borderId="25" xfId="0" applyFont="1" applyFill="1" applyBorder="1"/>
    <xf numFmtId="0" fontId="0" fillId="0" borderId="2" xfId="0" applyBorder="1"/>
    <xf numFmtId="0" fontId="24" fillId="0" borderId="17" xfId="0" applyFont="1" applyBorder="1"/>
    <xf numFmtId="0" fontId="22" fillId="0" borderId="24" xfId="0" applyFont="1" applyBorder="1" applyAlignment="1">
      <alignment vertical="top"/>
    </xf>
    <xf numFmtId="189" fontId="4" fillId="0" borderId="27" xfId="0" applyNumberFormat="1" applyFont="1" applyBorder="1" applyAlignment="1">
      <alignment horizontal="right" vertical="center"/>
    </xf>
    <xf numFmtId="2" fontId="4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26" fillId="0" borderId="22" xfId="0" applyFont="1" applyBorder="1"/>
    <xf numFmtId="0" fontId="32" fillId="0" borderId="28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" fontId="4" fillId="0" borderId="3" xfId="0" applyNumberFormat="1" applyFont="1" applyBorder="1" applyAlignment="1">
      <alignment horizontal="right" vertical="center"/>
    </xf>
    <xf numFmtId="0" fontId="47" fillId="0" borderId="27" xfId="0" applyFont="1" applyFill="1" applyBorder="1"/>
    <xf numFmtId="0" fontId="32" fillId="0" borderId="26" xfId="0" applyFont="1" applyFill="1" applyBorder="1" applyAlignment="1">
      <alignment vertical="center"/>
    </xf>
    <xf numFmtId="0" fontId="32" fillId="0" borderId="67" xfId="0" applyFont="1" applyFill="1" applyBorder="1" applyAlignment="1">
      <alignment vertical="center"/>
    </xf>
    <xf numFmtId="0" fontId="1" fillId="0" borderId="57" xfId="0" applyFont="1" applyBorder="1" applyAlignment="1">
      <alignment vertical="top"/>
    </xf>
    <xf numFmtId="0" fontId="0" fillId="0" borderId="67" xfId="0" applyFill="1" applyBorder="1" applyAlignment="1">
      <alignment vertical="center"/>
    </xf>
    <xf numFmtId="0" fontId="0" fillId="0" borderId="53" xfId="0" applyBorder="1" applyAlignment="1">
      <alignment horizontal="left" vertical="center"/>
    </xf>
    <xf numFmtId="1" fontId="4" fillId="0" borderId="59" xfId="0" applyNumberFormat="1" applyFont="1" applyBorder="1" applyAlignment="1">
      <alignment horizontal="right" vertical="center"/>
    </xf>
    <xf numFmtId="0" fontId="0" fillId="0" borderId="68" xfId="0" applyFill="1" applyBorder="1" applyAlignment="1">
      <alignment vertical="center"/>
    </xf>
    <xf numFmtId="0" fontId="1" fillId="0" borderId="64" xfId="0" applyFont="1" applyBorder="1" applyAlignment="1">
      <alignment vertical="top"/>
    </xf>
    <xf numFmtId="1" fontId="6" fillId="0" borderId="55" xfId="0" applyNumberFormat="1" applyFont="1" applyBorder="1" applyAlignment="1">
      <alignment horizontal="right" vertical="center"/>
    </xf>
    <xf numFmtId="0" fontId="0" fillId="0" borderId="63" xfId="0" applyBorder="1"/>
    <xf numFmtId="0" fontId="47" fillId="0" borderId="69" xfId="0" applyFont="1" applyFill="1" applyBorder="1"/>
    <xf numFmtId="0" fontId="1" fillId="0" borderId="53" xfId="0" applyFont="1" applyBorder="1" applyAlignment="1">
      <alignment vertical="top"/>
    </xf>
    <xf numFmtId="0" fontId="0" fillId="0" borderId="67" xfId="0" applyBorder="1" applyAlignment="1">
      <alignment horizontal="left" vertical="center"/>
    </xf>
    <xf numFmtId="0" fontId="26" fillId="0" borderId="58" xfId="0" applyFont="1" applyBorder="1"/>
    <xf numFmtId="0" fontId="6" fillId="0" borderId="58" xfId="0" applyFont="1" applyBorder="1" applyAlignment="1">
      <alignment horizontal="right"/>
    </xf>
    <xf numFmtId="0" fontId="0" fillId="0" borderId="60" xfId="0" applyBorder="1" applyAlignment="1">
      <alignment horizontal="left" vertical="center"/>
    </xf>
    <xf numFmtId="1" fontId="4" fillId="0" borderId="58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189" fontId="4" fillId="0" borderId="5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6" fillId="0" borderId="58" xfId="0" applyFont="1" applyBorder="1" applyAlignment="1">
      <alignment horizontal="right" vertical="center"/>
    </xf>
    <xf numFmtId="0" fontId="0" fillId="0" borderId="68" xfId="0" applyBorder="1"/>
    <xf numFmtId="0" fontId="6" fillId="0" borderId="60" xfId="0" applyFont="1" applyBorder="1" applyAlignment="1">
      <alignment horizontal="right" vertical="center"/>
    </xf>
    <xf numFmtId="0" fontId="47" fillId="0" borderId="59" xfId="0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1" fillId="0" borderId="58" xfId="0" applyFont="1" applyBorder="1" applyAlignment="1">
      <alignment vertical="center"/>
    </xf>
    <xf numFmtId="0" fontId="25" fillId="2" borderId="69" xfId="0" applyFont="1" applyFill="1" applyBorder="1"/>
    <xf numFmtId="0" fontId="24" fillId="0" borderId="66" xfId="0" applyFont="1" applyBorder="1"/>
    <xf numFmtId="0" fontId="22" fillId="0" borderId="63" xfId="0" applyFont="1" applyBorder="1" applyAlignment="1">
      <alignment vertical="top"/>
    </xf>
    <xf numFmtId="0" fontId="6" fillId="0" borderId="55" xfId="0" applyFont="1" applyBorder="1" applyAlignment="1">
      <alignment horizontal="right" vertical="center"/>
    </xf>
    <xf numFmtId="0" fontId="26" fillId="0" borderId="58" xfId="0" applyFont="1" applyFill="1" applyBorder="1"/>
    <xf numFmtId="0" fontId="1" fillId="0" borderId="58" xfId="0" applyFont="1" applyFill="1" applyBorder="1" applyAlignment="1">
      <alignment vertical="top"/>
    </xf>
    <xf numFmtId="0" fontId="6" fillId="0" borderId="58" xfId="0" applyFont="1" applyFill="1" applyBorder="1" applyAlignment="1">
      <alignment horizontal="right"/>
    </xf>
    <xf numFmtId="0" fontId="0" fillId="0" borderId="57" xfId="0" applyFill="1" applyBorder="1"/>
    <xf numFmtId="2" fontId="4" fillId="0" borderId="59" xfId="0" applyNumberFormat="1" applyFont="1" applyBorder="1" applyAlignment="1">
      <alignment horizontal="right" vertical="center"/>
    </xf>
    <xf numFmtId="0" fontId="32" fillId="0" borderId="67" xfId="0" applyFont="1" applyBorder="1"/>
    <xf numFmtId="0" fontId="6" fillId="0" borderId="53" xfId="0" applyFont="1" applyBorder="1" applyAlignment="1">
      <alignment horizontal="right" vertical="center"/>
    </xf>
    <xf numFmtId="0" fontId="26" fillId="0" borderId="53" xfId="0" applyFont="1" applyBorder="1"/>
    <xf numFmtId="0" fontId="0" fillId="0" borderId="65" xfId="0" applyBorder="1"/>
    <xf numFmtId="0" fontId="0" fillId="0" borderId="6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5" xfId="0" applyBorder="1" applyAlignment="1">
      <alignment horizontal="right" vertical="center"/>
    </xf>
    <xf numFmtId="0" fontId="47" fillId="0" borderId="59" xfId="0" applyFont="1" applyFill="1" applyBorder="1"/>
    <xf numFmtId="0" fontId="32" fillId="0" borderId="59" xfId="0" applyFont="1" applyFill="1" applyBorder="1"/>
    <xf numFmtId="0" fontId="47" fillId="0" borderId="27" xfId="0" applyFont="1" applyBorder="1"/>
    <xf numFmtId="0" fontId="0" fillId="0" borderId="28" xfId="0" applyBorder="1" applyAlignment="1">
      <alignment horizontal="left"/>
    </xf>
    <xf numFmtId="1" fontId="4" fillId="0" borderId="19" xfId="0" applyNumberFormat="1" applyFont="1" applyBorder="1" applyAlignment="1">
      <alignment horizontal="right"/>
    </xf>
    <xf numFmtId="0" fontId="25" fillId="0" borderId="26" xfId="0" applyFont="1" applyBorder="1"/>
    <xf numFmtId="0" fontId="47" fillId="0" borderId="57" xfId="0" applyFont="1" applyFill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63" xfId="0" applyFont="1" applyBorder="1" applyAlignment="1">
      <alignment vertical="top"/>
    </xf>
    <xf numFmtId="189" fontId="6" fillId="0" borderId="55" xfId="0" applyNumberFormat="1" applyFont="1" applyBorder="1" applyAlignment="1">
      <alignment horizontal="right"/>
    </xf>
    <xf numFmtId="0" fontId="47" fillId="0" borderId="69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4" fillId="0" borderId="61" xfId="0" applyFont="1" applyFill="1" applyBorder="1" applyAlignment="1">
      <alignment horizontal="right" vertical="center"/>
    </xf>
    <xf numFmtId="0" fontId="0" fillId="0" borderId="70" xfId="0" applyFill="1" applyBorder="1" applyAlignment="1">
      <alignment horizontal="left"/>
    </xf>
    <xf numFmtId="0" fontId="0" fillId="0" borderId="61" xfId="0" applyBorder="1" applyAlignment="1">
      <alignment horizontal="left"/>
    </xf>
    <xf numFmtId="0" fontId="4" fillId="0" borderId="62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32" fillId="0" borderId="69" xfId="0" applyFont="1" applyBorder="1"/>
    <xf numFmtId="0" fontId="0" fillId="0" borderId="57" xfId="0" applyFill="1" applyBorder="1" applyAlignment="1">
      <alignment vertical="center"/>
    </xf>
    <xf numFmtId="0" fontId="25" fillId="0" borderId="57" xfId="0" applyFont="1" applyBorder="1"/>
    <xf numFmtId="0" fontId="0" fillId="0" borderId="59" xfId="0" applyFill="1" applyBorder="1" applyAlignment="1">
      <alignment vertical="center"/>
    </xf>
    <xf numFmtId="0" fontId="0" fillId="0" borderId="58" xfId="0" applyBorder="1"/>
    <xf numFmtId="1" fontId="4" fillId="0" borderId="27" xfId="0" applyNumberFormat="1" applyFont="1" applyBorder="1"/>
    <xf numFmtId="0" fontId="4" fillId="0" borderId="28" xfId="0" applyFont="1" applyFill="1" applyBorder="1" applyAlignment="1">
      <alignment vertical="center"/>
    </xf>
    <xf numFmtId="189" fontId="6" fillId="0" borderId="3" xfId="0" applyNumberFormat="1" applyFont="1" applyFill="1" applyBorder="1" applyAlignment="1">
      <alignment horizontal="right" vertical="center"/>
    </xf>
    <xf numFmtId="0" fontId="26" fillId="0" borderId="28" xfId="0" applyFont="1" applyFill="1" applyBorder="1"/>
    <xf numFmtId="0" fontId="47" fillId="0" borderId="25" xfId="0" applyFont="1" applyFill="1" applyBorder="1" applyAlignment="1"/>
    <xf numFmtId="2" fontId="6" fillId="0" borderId="3" xfId="0" applyNumberFormat="1" applyFont="1" applyFill="1" applyBorder="1" applyAlignment="1">
      <alignment horizontal="right" vertical="center"/>
    </xf>
    <xf numFmtId="43" fontId="4" fillId="0" borderId="19" xfId="3" applyFont="1" applyFill="1" applyBorder="1"/>
    <xf numFmtId="0" fontId="1" fillId="0" borderId="70" xfId="0" applyFont="1" applyFill="1" applyBorder="1" applyAlignment="1">
      <alignment vertical="top"/>
    </xf>
    <xf numFmtId="0" fontId="0" fillId="0" borderId="69" xfId="0" applyFill="1" applyBorder="1"/>
    <xf numFmtId="0" fontId="1" fillId="0" borderId="61" xfId="0" applyFont="1" applyFill="1" applyBorder="1" applyAlignment="1">
      <alignment vertical="top"/>
    </xf>
    <xf numFmtId="2" fontId="4" fillId="0" borderId="62" xfId="0" applyNumberFormat="1" applyFont="1" applyFill="1" applyBorder="1" applyAlignment="1">
      <alignment horizontal="right" vertical="center"/>
    </xf>
    <xf numFmtId="0" fontId="1" fillId="0" borderId="63" xfId="0" applyFont="1" applyFill="1" applyBorder="1" applyAlignment="1">
      <alignment vertical="top"/>
    </xf>
    <xf numFmtId="0" fontId="26" fillId="0" borderId="68" xfId="0" applyFont="1" applyFill="1" applyBorder="1"/>
    <xf numFmtId="0" fontId="6" fillId="0" borderId="60" xfId="0" applyFont="1" applyFill="1" applyBorder="1" applyAlignment="1">
      <alignment horizontal="right"/>
    </xf>
    <xf numFmtId="0" fontId="1" fillId="0" borderId="57" xfId="0" applyFont="1" applyFill="1" applyBorder="1" applyAlignment="1">
      <alignment vertical="top"/>
    </xf>
    <xf numFmtId="0" fontId="0" fillId="0" borderId="67" xfId="0" applyFill="1" applyBorder="1"/>
    <xf numFmtId="0" fontId="1" fillId="0" borderId="64" xfId="0" applyFont="1" applyFill="1" applyBorder="1" applyAlignment="1">
      <alignment vertical="top"/>
    </xf>
    <xf numFmtId="0" fontId="4" fillId="0" borderId="67" xfId="0" applyFont="1" applyFill="1" applyBorder="1" applyAlignment="1">
      <alignment vertical="center"/>
    </xf>
    <xf numFmtId="189" fontId="4" fillId="0" borderId="53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horizontal="left" vertical="center"/>
    </xf>
    <xf numFmtId="189" fontId="4" fillId="0" borderId="59" xfId="0" applyNumberFormat="1" applyFont="1" applyFill="1" applyBorder="1" applyAlignment="1">
      <alignment horizontal="right" vertical="center"/>
    </xf>
    <xf numFmtId="189" fontId="6" fillId="0" borderId="55" xfId="0" applyNumberFormat="1" applyFont="1" applyFill="1" applyBorder="1" applyAlignment="1">
      <alignment horizontal="right" vertical="center"/>
    </xf>
    <xf numFmtId="0" fontId="1" fillId="0" borderId="57" xfId="0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right" vertical="center"/>
    </xf>
    <xf numFmtId="0" fontId="26" fillId="0" borderId="67" xfId="0" applyFont="1" applyFill="1" applyBorder="1"/>
    <xf numFmtId="0" fontId="6" fillId="0" borderId="55" xfId="0" applyFont="1" applyFill="1" applyBorder="1" applyAlignment="1">
      <alignment horizontal="right"/>
    </xf>
    <xf numFmtId="0" fontId="6" fillId="0" borderId="58" xfId="0" applyFont="1" applyFill="1" applyBorder="1" applyAlignment="1">
      <alignment horizontal="right" vertical="center"/>
    </xf>
    <xf numFmtId="0" fontId="32" fillId="0" borderId="69" xfId="0" applyFont="1" applyFill="1" applyBorder="1"/>
    <xf numFmtId="0" fontId="0" fillId="0" borderId="58" xfId="0" applyFill="1" applyBorder="1" applyAlignment="1">
      <alignment horizontal="left" vertical="center"/>
    </xf>
    <xf numFmtId="189" fontId="4" fillId="0" borderId="19" xfId="0" applyNumberFormat="1" applyFont="1" applyFill="1" applyBorder="1" applyAlignment="1">
      <alignment horizontal="right"/>
    </xf>
    <xf numFmtId="0" fontId="25" fillId="0" borderId="26" xfId="0" applyFont="1" applyFill="1" applyBorder="1"/>
    <xf numFmtId="0" fontId="47" fillId="0" borderId="57" xfId="0" applyFont="1" applyFill="1" applyBorder="1"/>
    <xf numFmtId="0" fontId="0" fillId="0" borderId="67" xfId="0" applyFill="1" applyBorder="1" applyAlignment="1">
      <alignment horizontal="left"/>
    </xf>
    <xf numFmtId="0" fontId="4" fillId="0" borderId="70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right"/>
    </xf>
    <xf numFmtId="0" fontId="0" fillId="0" borderId="61" xfId="0" applyFill="1" applyBorder="1" applyAlignment="1">
      <alignment horizontal="left"/>
    </xf>
    <xf numFmtId="0" fontId="26" fillId="0" borderId="64" xfId="0" applyFont="1" applyFill="1" applyBorder="1"/>
    <xf numFmtId="0" fontId="1" fillId="0" borderId="68" xfId="0" applyFont="1" applyFill="1" applyBorder="1" applyAlignment="1">
      <alignment vertical="top"/>
    </xf>
    <xf numFmtId="1" fontId="4" fillId="0" borderId="19" xfId="0" applyNumberFormat="1" applyFont="1" applyFill="1" applyBorder="1"/>
    <xf numFmtId="2" fontId="5" fillId="0" borderId="27" xfId="0" applyNumberFormat="1" applyFont="1" applyFill="1" applyBorder="1"/>
    <xf numFmtId="0" fontId="26" fillId="0" borderId="55" xfId="0" applyFont="1" applyFill="1" applyBorder="1"/>
    <xf numFmtId="0" fontId="32" fillId="0" borderId="0" xfId="0" applyFont="1" applyFill="1" applyAlignment="1"/>
    <xf numFmtId="0" fontId="1" fillId="0" borderId="0" xfId="0" applyFont="1" applyFill="1" applyBorder="1" applyAlignment="1">
      <alignment vertical="top"/>
    </xf>
    <xf numFmtId="0" fontId="0" fillId="0" borderId="69" xfId="0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0" fillId="0" borderId="65" xfId="0" applyFill="1" applyBorder="1"/>
    <xf numFmtId="0" fontId="32" fillId="0" borderId="69" xfId="0" applyFont="1" applyFill="1" applyBorder="1" applyAlignment="1">
      <alignment vertical="center"/>
    </xf>
    <xf numFmtId="0" fontId="4" fillId="2" borderId="0" xfId="0" applyFont="1" applyFill="1"/>
    <xf numFmtId="0" fontId="31" fillId="2" borderId="24" xfId="0" applyFont="1" applyFill="1" applyBorder="1"/>
  </cellXfs>
  <cellStyles count="5">
    <cellStyle name="Comma" xfId="3" builtinId="3"/>
    <cellStyle name="Normal" xfId="0" builtinId="0"/>
    <cellStyle name="Normal 3 2" xfId="4"/>
    <cellStyle name="Normal_ลงทะเบียน_2550_16Jan2551" xfId="1"/>
    <cellStyle name="ปกติ_DataToMakeLoadUnitFi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777240</xdr:colOff>
      <xdr:row>2</xdr:row>
      <xdr:rowOff>152400</xdr:rowOff>
    </xdr:from>
    <xdr:to>
      <xdr:col>1</xdr:col>
      <xdr:colOff>38100</xdr:colOff>
      <xdr:row>10</xdr:row>
      <xdr:rowOff>121920</xdr:rowOff>
    </xdr:to>
    <xdr:sp macro="" textlink="">
      <xdr:nvSpPr>
        <xdr:cNvPr id="2" name="คำบรรยายภาพแบบวงรี 1"/>
        <xdr:cNvSpPr/>
      </xdr:nvSpPr>
      <xdr:spPr>
        <a:xfrm>
          <a:off x="777240" y="502920"/>
          <a:ext cx="1600200" cy="1371600"/>
        </a:xfrm>
        <a:prstGeom prst="wedgeEllipseCallout">
          <a:avLst>
            <a:gd name="adj1" fmla="val -45705"/>
            <a:gd name="adj2" fmla="val 541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/>
            <a:t>สมมติหลักสูตรนี้มีอาจารย์ที่</a:t>
          </a:r>
        </a:p>
        <a:p>
          <a:pPr algn="ctr"/>
          <a:r>
            <a:rPr lang="th-TH" sz="1100"/>
            <a:t>สอนใน</a:t>
          </a:r>
        </a:p>
        <a:p>
          <a:pPr algn="ctr"/>
          <a:r>
            <a:rPr lang="th-TH" sz="1100"/>
            <a:t>หลักสูตรในทุก</a:t>
          </a:r>
        </a:p>
        <a:p>
          <a:pPr algn="ctr"/>
          <a:r>
            <a:rPr lang="th-TH" sz="1100"/>
            <a:t>รายวิชาจำนวน</a:t>
          </a:r>
        </a:p>
        <a:p>
          <a:pPr algn="ctr"/>
          <a:r>
            <a:rPr lang="th-TH" sz="1100"/>
            <a:t> 10 ท่าน</a:t>
          </a:r>
        </a:p>
      </xdr:txBody>
    </xdr:sp>
    <xdr:clientData/>
  </xdr:twoCellAnchor>
  <xdr:twoCellAnchor>
    <xdr:from>
      <xdr:col>1</xdr:col>
      <xdr:colOff>396240</xdr:colOff>
      <xdr:row>0</xdr:row>
      <xdr:rowOff>60960</xdr:rowOff>
    </xdr:from>
    <xdr:to>
      <xdr:col>2</xdr:col>
      <xdr:colOff>601980</xdr:colOff>
      <xdr:row>4</xdr:row>
      <xdr:rowOff>83820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2735580" y="60960"/>
          <a:ext cx="1584960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/>
            <a:t>ม.กำหนดการคิดค่า </a:t>
          </a:r>
          <a:br>
            <a:rPr lang="th-TH" sz="1100"/>
          </a:br>
          <a:r>
            <a:rPr lang="en-US" sz="1100"/>
            <a:t>FTE </a:t>
          </a:r>
          <a:r>
            <a:rPr lang="th-TH" sz="1100"/>
            <a:t>ของอาจารย์ ให้คิด</a:t>
          </a:r>
          <a:br>
            <a:rPr lang="th-TH" sz="1100"/>
          </a:br>
          <a:r>
            <a:rPr lang="th-TH" sz="1100"/>
            <a:t>35 ชั่วโมง/สัปดาห์</a:t>
          </a:r>
        </a:p>
      </xdr:txBody>
    </xdr:sp>
    <xdr:clientData/>
  </xdr:twoCellAnchor>
  <xdr:twoCellAnchor>
    <xdr:from>
      <xdr:col>2</xdr:col>
      <xdr:colOff>754380</xdr:colOff>
      <xdr:row>0</xdr:row>
      <xdr:rowOff>60960</xdr:rowOff>
    </xdr:from>
    <xdr:to>
      <xdr:col>4</xdr:col>
      <xdr:colOff>541020</xdr:colOff>
      <xdr:row>4</xdr:row>
      <xdr:rowOff>83820</xdr:rowOff>
    </xdr:to>
    <xdr:sp macro="" textlink="">
      <xdr:nvSpPr>
        <xdr:cNvPr id="4" name="สี่เหลี่ยมผืนผ้ามุมมน 3"/>
        <xdr:cNvSpPr/>
      </xdr:nvSpPr>
      <xdr:spPr>
        <a:xfrm>
          <a:off x="4472940" y="60960"/>
          <a:ext cx="1699260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/>
            <a:t>ตัวอย่างกำหนด</a:t>
          </a:r>
          <a:r>
            <a:rPr lang="th-T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ให้ในภาค</a:t>
          </a:r>
          <a:r>
            <a:rPr lang="th-TH" sz="1100"/>
            <a:t>การศึกษาที่ 1 มีจำนวน</a:t>
          </a:r>
          <a:br>
            <a:rPr lang="th-TH" sz="1100"/>
          </a:br>
          <a:r>
            <a:rPr lang="th-TH" sz="1100"/>
            <a:t>15 สัปดาห์</a:t>
          </a:r>
        </a:p>
      </xdr:txBody>
    </xdr:sp>
    <xdr:clientData/>
  </xdr:twoCellAnchor>
  <xdr:twoCellAnchor>
    <xdr:from>
      <xdr:col>1</xdr:col>
      <xdr:colOff>1287780</xdr:colOff>
      <xdr:row>5</xdr:row>
      <xdr:rowOff>114300</xdr:rowOff>
    </xdr:from>
    <xdr:to>
      <xdr:col>4</xdr:col>
      <xdr:colOff>518160</xdr:colOff>
      <xdr:row>9</xdr:row>
      <xdr:rowOff>22860</xdr:rowOff>
    </xdr:to>
    <xdr:sp macro="" textlink="">
      <xdr:nvSpPr>
        <xdr:cNvPr id="5" name="คำบรรยายภาพแบบสี่เหลี่ยมมุมมน 4"/>
        <xdr:cNvSpPr/>
      </xdr:nvSpPr>
      <xdr:spPr>
        <a:xfrm>
          <a:off x="3627120" y="990600"/>
          <a:ext cx="2522220" cy="609600"/>
        </a:xfrm>
        <a:prstGeom prst="wedgeRoundRectCallout">
          <a:avLst>
            <a:gd name="adj1" fmla="val -29016"/>
            <a:gd name="adj2" fmla="val 1011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สูตรสำหรับการคำนาณค่า </a:t>
          </a:r>
          <a:r>
            <a:rPr lang="en-US" sz="1100"/>
            <a:t>FTE </a:t>
          </a:r>
          <a:r>
            <a:rPr lang="th-TH" sz="1100"/>
            <a:t>คือ</a:t>
          </a:r>
        </a:p>
        <a:p>
          <a:pPr algn="l"/>
          <a:r>
            <a:rPr lang="th-TH" sz="1100"/>
            <a:t>(จำนวนชั่วโมง/(นวนสัปดาห์</a:t>
          </a:r>
          <a:r>
            <a:rPr lang="en-US" sz="1100"/>
            <a:t>*35))</a:t>
          </a:r>
          <a:endParaRPr lang="th-TH" sz="1100"/>
        </a:p>
      </xdr:txBody>
    </xdr:sp>
    <xdr:clientData/>
  </xdr:twoCellAnchor>
  <xdr:twoCellAnchor>
    <xdr:from>
      <xdr:col>0</xdr:col>
      <xdr:colOff>777240</xdr:colOff>
      <xdr:row>2</xdr:row>
      <xdr:rowOff>152400</xdr:rowOff>
    </xdr:from>
    <xdr:to>
      <xdr:col>1</xdr:col>
      <xdr:colOff>38100</xdr:colOff>
      <xdr:row>10</xdr:row>
      <xdr:rowOff>121920</xdr:rowOff>
    </xdr:to>
    <xdr:sp macro="" textlink="">
      <xdr:nvSpPr>
        <xdr:cNvPr id="6" name="คำบรรยายภาพแบบวงรี 5"/>
        <xdr:cNvSpPr/>
      </xdr:nvSpPr>
      <xdr:spPr>
        <a:xfrm>
          <a:off x="777240" y="502920"/>
          <a:ext cx="1600200" cy="1371600"/>
        </a:xfrm>
        <a:prstGeom prst="wedgeEllipseCallout">
          <a:avLst>
            <a:gd name="adj1" fmla="val -45705"/>
            <a:gd name="adj2" fmla="val 541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/>
            <a:t>สมมติหลักสูตรนี้มีอาจารย์ที่</a:t>
          </a:r>
        </a:p>
        <a:p>
          <a:pPr algn="ctr"/>
          <a:r>
            <a:rPr lang="th-TH" sz="1100"/>
            <a:t>สอนใน</a:t>
          </a:r>
        </a:p>
        <a:p>
          <a:pPr algn="ctr"/>
          <a:r>
            <a:rPr lang="th-TH" sz="1100"/>
            <a:t>หลักสูตรในทุก</a:t>
          </a:r>
        </a:p>
        <a:p>
          <a:pPr algn="ctr"/>
          <a:r>
            <a:rPr lang="th-TH" sz="1100"/>
            <a:t>รายวิชาจำนวน</a:t>
          </a:r>
        </a:p>
        <a:p>
          <a:pPr algn="ctr"/>
          <a:r>
            <a:rPr lang="th-TH" sz="1100"/>
            <a:t> 10 ท่าน</a:t>
          </a:r>
        </a:p>
      </xdr:txBody>
    </xdr:sp>
    <xdr:clientData/>
  </xdr:twoCellAnchor>
  <xdr:twoCellAnchor>
    <xdr:from>
      <xdr:col>1</xdr:col>
      <xdr:colOff>396240</xdr:colOff>
      <xdr:row>0</xdr:row>
      <xdr:rowOff>60960</xdr:rowOff>
    </xdr:from>
    <xdr:to>
      <xdr:col>2</xdr:col>
      <xdr:colOff>601980</xdr:colOff>
      <xdr:row>4</xdr:row>
      <xdr:rowOff>83820</xdr:rowOff>
    </xdr:to>
    <xdr:sp macro="" textlink="">
      <xdr:nvSpPr>
        <xdr:cNvPr id="7" name="สี่เหลี่ยมผืนผ้ามุมมน 6"/>
        <xdr:cNvSpPr/>
      </xdr:nvSpPr>
      <xdr:spPr>
        <a:xfrm>
          <a:off x="2735580" y="60960"/>
          <a:ext cx="1584960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/>
            <a:t>ม.กำหนดการคิดค่า </a:t>
          </a:r>
          <a:br>
            <a:rPr lang="th-TH" sz="1100"/>
          </a:br>
          <a:r>
            <a:rPr lang="en-US" sz="1100"/>
            <a:t>FTE </a:t>
          </a:r>
          <a:r>
            <a:rPr lang="th-TH" sz="1100"/>
            <a:t>ของอาจารย์ ให้คิด</a:t>
          </a:r>
          <a:br>
            <a:rPr lang="th-TH" sz="1100"/>
          </a:br>
          <a:r>
            <a:rPr lang="th-TH" sz="1100"/>
            <a:t>35 ชั่วโมง/สัปดาห์</a:t>
          </a:r>
        </a:p>
      </xdr:txBody>
    </xdr:sp>
    <xdr:clientData/>
  </xdr:twoCellAnchor>
  <xdr:twoCellAnchor>
    <xdr:from>
      <xdr:col>2</xdr:col>
      <xdr:colOff>754380</xdr:colOff>
      <xdr:row>0</xdr:row>
      <xdr:rowOff>60960</xdr:rowOff>
    </xdr:from>
    <xdr:to>
      <xdr:col>4</xdr:col>
      <xdr:colOff>541020</xdr:colOff>
      <xdr:row>4</xdr:row>
      <xdr:rowOff>83820</xdr:rowOff>
    </xdr:to>
    <xdr:sp macro="" textlink="">
      <xdr:nvSpPr>
        <xdr:cNvPr id="8" name="สี่เหลี่ยมผืนผ้ามุมมน 7"/>
        <xdr:cNvSpPr/>
      </xdr:nvSpPr>
      <xdr:spPr>
        <a:xfrm>
          <a:off x="4472940" y="60960"/>
          <a:ext cx="1699260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/>
            <a:t>ตัวอย่างกำหนด</a:t>
          </a:r>
          <a:r>
            <a:rPr lang="th-T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ให้ในภาค</a:t>
          </a:r>
          <a:r>
            <a:rPr lang="th-TH" sz="1100"/>
            <a:t>การศึกษาที่ 1 มีจำนวน</a:t>
          </a:r>
          <a:br>
            <a:rPr lang="th-TH" sz="1100"/>
          </a:br>
          <a:r>
            <a:rPr lang="th-TH" sz="1100"/>
            <a:t>15 สัปดาห์</a:t>
          </a:r>
        </a:p>
      </xdr:txBody>
    </xdr:sp>
    <xdr:clientData/>
  </xdr:twoCellAnchor>
  <xdr:twoCellAnchor>
    <xdr:from>
      <xdr:col>1</xdr:col>
      <xdr:colOff>1287780</xdr:colOff>
      <xdr:row>5</xdr:row>
      <xdr:rowOff>114300</xdr:rowOff>
    </xdr:from>
    <xdr:to>
      <xdr:col>4</xdr:col>
      <xdr:colOff>518160</xdr:colOff>
      <xdr:row>9</xdr:row>
      <xdr:rowOff>22860</xdr:rowOff>
    </xdr:to>
    <xdr:sp macro="" textlink="">
      <xdr:nvSpPr>
        <xdr:cNvPr id="9" name="คำบรรยายภาพแบบสี่เหลี่ยมมุมมน 8"/>
        <xdr:cNvSpPr/>
      </xdr:nvSpPr>
      <xdr:spPr>
        <a:xfrm>
          <a:off x="3627120" y="990600"/>
          <a:ext cx="2522220" cy="609600"/>
        </a:xfrm>
        <a:prstGeom prst="wedgeRoundRectCallout">
          <a:avLst>
            <a:gd name="adj1" fmla="val -29016"/>
            <a:gd name="adj2" fmla="val 1011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สูตรสำหรับการคำนาณค่า </a:t>
          </a:r>
          <a:r>
            <a:rPr lang="en-US" sz="1100"/>
            <a:t>FTE </a:t>
          </a:r>
          <a:r>
            <a:rPr lang="th-TH" sz="1100"/>
            <a:t>คือ</a:t>
          </a:r>
        </a:p>
        <a:p>
          <a:pPr algn="l"/>
          <a:r>
            <a:rPr lang="th-TH" sz="1100"/>
            <a:t>(จำนวนชั่วโมง/(จำนวนสัปดาห์</a:t>
          </a:r>
          <a:r>
            <a:rPr lang="en-US" sz="1100"/>
            <a:t>*35))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17" sqref="E17"/>
    </sheetView>
  </sheetViews>
  <sheetFormatPr defaultRowHeight="13.8" x14ac:dyDescent="0.25"/>
  <cols>
    <col min="1" max="1" width="30.69921875" customWidth="1"/>
    <col min="2" max="2" width="18.09765625" customWidth="1"/>
    <col min="3" max="3" width="16.296875" customWidth="1"/>
    <col min="4" max="4" width="8.796875" customWidth="1"/>
  </cols>
  <sheetData>
    <row r="1" spans="1:3" x14ac:dyDescent="0.25">
      <c r="A1" s="31" t="s">
        <v>6</v>
      </c>
    </row>
    <row r="2" spans="1:3" x14ac:dyDescent="0.25">
      <c r="A2" s="31"/>
    </row>
    <row r="3" spans="1:3" x14ac:dyDescent="0.25">
      <c r="A3" s="31" t="s">
        <v>7</v>
      </c>
    </row>
    <row r="12" spans="1:3" ht="27.6" x14ac:dyDescent="0.25">
      <c r="A12" s="32" t="s">
        <v>8</v>
      </c>
      <c r="B12" s="33" t="s">
        <v>9</v>
      </c>
      <c r="C12" s="34" t="s">
        <v>10</v>
      </c>
    </row>
    <row r="13" spans="1:3" x14ac:dyDescent="0.25">
      <c r="A13" s="7"/>
      <c r="B13" s="35" t="s">
        <v>7</v>
      </c>
      <c r="C13" s="36"/>
    </row>
    <row r="14" spans="1:3" x14ac:dyDescent="0.25">
      <c r="A14" s="13" t="s">
        <v>11</v>
      </c>
      <c r="B14" s="17">
        <v>10</v>
      </c>
      <c r="C14" s="37">
        <f>B14/(15*35)</f>
        <v>1.9047619047619049E-2</v>
      </c>
    </row>
    <row r="15" spans="1:3" x14ac:dyDescent="0.25">
      <c r="A15" s="13" t="s">
        <v>12</v>
      </c>
      <c r="B15" s="17">
        <v>15</v>
      </c>
      <c r="C15" s="37">
        <f t="shared" ref="C15:C23" si="0">B15/(15*35)</f>
        <v>2.8571428571428571E-2</v>
      </c>
    </row>
    <row r="16" spans="1:3" x14ac:dyDescent="0.25">
      <c r="A16" s="13" t="s">
        <v>13</v>
      </c>
      <c r="B16" s="17">
        <v>3</v>
      </c>
      <c r="C16" s="37">
        <f t="shared" si="0"/>
        <v>5.7142857142857143E-3</v>
      </c>
    </row>
    <row r="17" spans="1:3" x14ac:dyDescent="0.25">
      <c r="A17" s="13" t="s">
        <v>14</v>
      </c>
      <c r="B17" s="17">
        <v>8</v>
      </c>
      <c r="C17" s="37">
        <f t="shared" si="0"/>
        <v>1.5238095238095238E-2</v>
      </c>
    </row>
    <row r="18" spans="1:3" x14ac:dyDescent="0.25">
      <c r="A18" s="13" t="s">
        <v>15</v>
      </c>
      <c r="B18" s="17">
        <v>9</v>
      </c>
      <c r="C18" s="37">
        <f t="shared" si="0"/>
        <v>1.7142857142857144E-2</v>
      </c>
    </row>
    <row r="19" spans="1:3" x14ac:dyDescent="0.25">
      <c r="A19" s="13" t="s">
        <v>16</v>
      </c>
      <c r="B19" s="17">
        <v>7</v>
      </c>
      <c r="C19" s="37">
        <f t="shared" si="0"/>
        <v>1.3333333333333334E-2</v>
      </c>
    </row>
    <row r="20" spans="1:3" x14ac:dyDescent="0.25">
      <c r="A20" s="13" t="s">
        <v>17</v>
      </c>
      <c r="B20" s="17">
        <v>20</v>
      </c>
      <c r="C20" s="37">
        <f t="shared" si="0"/>
        <v>3.8095238095238099E-2</v>
      </c>
    </row>
    <row r="21" spans="1:3" x14ac:dyDescent="0.25">
      <c r="A21" s="13" t="s">
        <v>18</v>
      </c>
      <c r="B21" s="17">
        <v>10</v>
      </c>
      <c r="C21" s="37">
        <f t="shared" si="0"/>
        <v>1.9047619047619049E-2</v>
      </c>
    </row>
    <row r="22" spans="1:3" x14ac:dyDescent="0.25">
      <c r="A22" s="13" t="s">
        <v>19</v>
      </c>
      <c r="B22" s="17">
        <v>15</v>
      </c>
      <c r="C22" s="37">
        <f t="shared" si="0"/>
        <v>2.8571428571428571E-2</v>
      </c>
    </row>
    <row r="23" spans="1:3" x14ac:dyDescent="0.25">
      <c r="A23" s="13" t="s">
        <v>20</v>
      </c>
      <c r="B23" s="17">
        <v>12</v>
      </c>
      <c r="C23" s="37">
        <f t="shared" si="0"/>
        <v>2.2857142857142857E-2</v>
      </c>
    </row>
    <row r="24" spans="1:3" s="31" customFormat="1" x14ac:dyDescent="0.25">
      <c r="A24" s="38" t="s">
        <v>21</v>
      </c>
      <c r="B24" s="38">
        <f>SUM(B14:B23)</f>
        <v>109</v>
      </c>
      <c r="C24" s="39">
        <f>SUM(C14:C23)</f>
        <v>0.20761904761904759</v>
      </c>
    </row>
    <row r="26" spans="1:3" x14ac:dyDescent="0.25">
      <c r="A26" t="s">
        <v>22</v>
      </c>
    </row>
    <row r="27" spans="1:3" x14ac:dyDescent="0.25">
      <c r="A27" s="31"/>
    </row>
    <row r="28" spans="1:3" x14ac:dyDescent="0.25">
      <c r="A28" t="s">
        <v>23</v>
      </c>
    </row>
    <row r="30" spans="1:3" x14ac:dyDescent="0.25">
      <c r="A30" s="31" t="s">
        <v>24</v>
      </c>
    </row>
    <row r="32" spans="1:3" x14ac:dyDescent="0.25">
      <c r="A32" s="31" t="s">
        <v>25</v>
      </c>
    </row>
    <row r="33" spans="1:1" x14ac:dyDescent="0.25">
      <c r="A33" t="s">
        <v>26</v>
      </c>
    </row>
    <row r="34" spans="1:1" x14ac:dyDescent="0.25">
      <c r="A34" s="40" t="s">
        <v>27</v>
      </c>
    </row>
    <row r="35" spans="1:1" x14ac:dyDescent="0.25">
      <c r="A35" t="s">
        <v>28</v>
      </c>
    </row>
  </sheetData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4"/>
  <sheetViews>
    <sheetView workbookViewId="0">
      <selection activeCell="A10" sqref="A10"/>
    </sheetView>
  </sheetViews>
  <sheetFormatPr defaultRowHeight="13.8" x14ac:dyDescent="0.25"/>
  <cols>
    <col min="1" max="1" width="24.09765625" customWidth="1"/>
    <col min="2" max="2" width="10.296875" customWidth="1"/>
    <col min="3" max="3" width="10.296875" bestFit="1" customWidth="1"/>
    <col min="4" max="4" width="12.796875" style="232" customWidth="1"/>
    <col min="5" max="5" width="10.296875" customWidth="1"/>
    <col min="6" max="6" width="10" style="232" customWidth="1"/>
  </cols>
  <sheetData>
    <row r="1" spans="1:6" x14ac:dyDescent="0.25">
      <c r="A1" s="21"/>
      <c r="B1" s="23"/>
      <c r="C1" s="17" t="s">
        <v>512</v>
      </c>
      <c r="E1" s="23"/>
      <c r="F1" s="17" t="s">
        <v>513</v>
      </c>
    </row>
    <row r="2" spans="1:6" s="80" customFormat="1" ht="21" x14ac:dyDescent="0.25">
      <c r="A2" s="871" t="s">
        <v>665</v>
      </c>
      <c r="B2" s="84"/>
      <c r="C2" s="601"/>
      <c r="D2" s="83"/>
      <c r="E2" s="84"/>
      <c r="F2" s="623">
        <f>SUM(F3)</f>
        <v>45</v>
      </c>
    </row>
    <row r="3" spans="1:6" s="72" customFormat="1" ht="21.6" thickBot="1" x14ac:dyDescent="0.3">
      <c r="A3" s="742"/>
      <c r="B3" s="1140"/>
      <c r="C3" s="68"/>
      <c r="D3" s="742" t="s">
        <v>669</v>
      </c>
      <c r="E3" s="1140" t="s">
        <v>667</v>
      </c>
      <c r="F3" s="68">
        <v>45</v>
      </c>
    </row>
    <row r="4" spans="1:6" ht="21" x14ac:dyDescent="0.25">
      <c r="A4" s="1158" t="s">
        <v>69</v>
      </c>
      <c r="B4" s="1219"/>
      <c r="C4" s="1224">
        <f>SUM(C5)</f>
        <v>45</v>
      </c>
      <c r="D4" s="1196"/>
      <c r="E4" s="1219"/>
      <c r="F4" s="1224">
        <f>SUM(F5)</f>
        <v>45</v>
      </c>
    </row>
    <row r="5" spans="1:6" ht="21.6" thickBot="1" x14ac:dyDescent="0.3">
      <c r="A5" s="1230" t="s">
        <v>71</v>
      </c>
      <c r="B5" s="1209" t="s">
        <v>30</v>
      </c>
      <c r="C5" s="1074">
        <v>45</v>
      </c>
      <c r="D5" s="1230" t="s">
        <v>681</v>
      </c>
      <c r="E5" s="1209" t="s">
        <v>667</v>
      </c>
      <c r="F5" s="1074">
        <v>45</v>
      </c>
    </row>
    <row r="6" spans="1:6" ht="20.399999999999999" x14ac:dyDescent="0.25">
      <c r="A6" s="1089" t="s">
        <v>64</v>
      </c>
      <c r="B6" s="7"/>
      <c r="C6" s="1217">
        <f>SUM(C7:C9)</f>
        <v>45</v>
      </c>
      <c r="D6" s="280"/>
      <c r="E6" s="7"/>
      <c r="F6" s="619">
        <f>SUM(F7:F9)</f>
        <v>82.5</v>
      </c>
    </row>
    <row r="7" spans="1:6" ht="21" x14ac:dyDescent="0.4">
      <c r="A7" s="11" t="s">
        <v>65</v>
      </c>
      <c r="B7" s="57" t="s">
        <v>667</v>
      </c>
      <c r="C7" s="13">
        <v>45</v>
      </c>
      <c r="D7" s="951" t="s">
        <v>683</v>
      </c>
      <c r="E7" s="57" t="s">
        <v>1</v>
      </c>
      <c r="F7" s="1258">
        <v>22.5</v>
      </c>
    </row>
    <row r="8" spans="1:6" ht="21" x14ac:dyDescent="0.4">
      <c r="A8" s="11"/>
      <c r="B8" s="57"/>
      <c r="C8" s="13"/>
      <c r="D8" s="951" t="s">
        <v>683</v>
      </c>
      <c r="E8" s="57" t="s">
        <v>667</v>
      </c>
      <c r="F8" s="1258">
        <v>15</v>
      </c>
    </row>
    <row r="9" spans="1:6" ht="21.6" thickBot="1" x14ac:dyDescent="0.45">
      <c r="A9" s="308"/>
      <c r="B9" s="2"/>
      <c r="C9" s="5"/>
      <c r="D9" s="1215" t="s">
        <v>65</v>
      </c>
      <c r="E9" s="2" t="s">
        <v>667</v>
      </c>
      <c r="F9" s="282">
        <v>45</v>
      </c>
    </row>
    <row r="10" spans="1:6" ht="20.399999999999999" x14ac:dyDescent="0.25">
      <c r="A10" s="1105" t="s">
        <v>72</v>
      </c>
      <c r="B10" s="1219"/>
      <c r="C10" s="1236">
        <f>SUM(C11)</f>
        <v>45</v>
      </c>
      <c r="D10" s="1237"/>
      <c r="E10" s="1219"/>
      <c r="F10" s="1238"/>
    </row>
    <row r="11" spans="1:6" ht="21.6" thickBot="1" x14ac:dyDescent="0.3">
      <c r="A11" s="1230" t="s">
        <v>74</v>
      </c>
      <c r="B11" s="1231" t="s">
        <v>30</v>
      </c>
      <c r="C11" s="1239">
        <v>45</v>
      </c>
      <c r="D11" s="1240"/>
      <c r="E11" s="1230"/>
      <c r="F11" s="1241"/>
    </row>
    <row r="12" spans="1:6" ht="18" x14ac:dyDescent="0.25">
      <c r="A12" s="460" t="s">
        <v>320</v>
      </c>
      <c r="B12" s="100"/>
      <c r="C12" s="1234">
        <f>C2+C4+C6+C10</f>
        <v>135</v>
      </c>
      <c r="D12" s="1235"/>
      <c r="E12" s="100"/>
      <c r="F12" s="1234">
        <f>F2+F4+F6+F10</f>
        <v>172.5</v>
      </c>
    </row>
    <row r="13" spans="1:6" ht="18" x14ac:dyDescent="0.25">
      <c r="A13" s="266" t="s">
        <v>321</v>
      </c>
      <c r="B13" s="92"/>
      <c r="C13" s="281">
        <f>C12/(15*35)</f>
        <v>0.25714285714285712</v>
      </c>
      <c r="D13" s="237"/>
      <c r="E13" s="92"/>
      <c r="F13" s="283">
        <f>F12/(15*35)</f>
        <v>0.32857142857142857</v>
      </c>
    </row>
    <row r="14" spans="1:6" ht="18" x14ac:dyDescent="0.25">
      <c r="A14" s="266" t="s">
        <v>322</v>
      </c>
      <c r="B14" s="21"/>
      <c r="C14" s="281">
        <f>(C13+F13)/2</f>
        <v>0.29285714285714282</v>
      </c>
      <c r="D14" s="237"/>
      <c r="E14" s="21"/>
      <c r="F14" s="25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"/>
  <sheetViews>
    <sheetView workbookViewId="0">
      <selection activeCell="F14" sqref="F14"/>
    </sheetView>
  </sheetViews>
  <sheetFormatPr defaultRowHeight="13.8" x14ac:dyDescent="0.25"/>
  <cols>
    <col min="1" max="1" width="23.5" customWidth="1"/>
    <col min="3" max="3" width="10.296875" bestFit="1" customWidth="1"/>
    <col min="6" max="6" width="10.296875" bestFit="1" customWidth="1"/>
  </cols>
  <sheetData>
    <row r="1" spans="1:6" x14ac:dyDescent="0.25">
      <c r="A1" s="21"/>
      <c r="B1" s="23"/>
      <c r="C1" s="17" t="s">
        <v>512</v>
      </c>
      <c r="D1" s="23"/>
      <c r="E1" s="23"/>
      <c r="F1" s="17" t="s">
        <v>513</v>
      </c>
    </row>
    <row r="2" spans="1:6" x14ac:dyDescent="0.25">
      <c r="A2" s="906" t="s">
        <v>59</v>
      </c>
      <c r="B2" s="12"/>
      <c r="C2" s="300">
        <f>SUM(C3:C4)</f>
        <v>67.5</v>
      </c>
      <c r="D2" s="12"/>
      <c r="E2" s="12"/>
      <c r="F2" s="349">
        <f>SUM(F3:F4)</f>
        <v>67.5</v>
      </c>
    </row>
    <row r="3" spans="1:6" ht="21" x14ac:dyDescent="0.25">
      <c r="A3" s="314" t="s">
        <v>60</v>
      </c>
      <c r="B3" s="64" t="s">
        <v>3</v>
      </c>
      <c r="C3" s="5">
        <v>45</v>
      </c>
      <c r="D3" s="59" t="s">
        <v>60</v>
      </c>
      <c r="E3" s="64" t="s">
        <v>30</v>
      </c>
      <c r="F3" s="301">
        <v>45</v>
      </c>
    </row>
    <row r="4" spans="1:6" ht="21" x14ac:dyDescent="0.25">
      <c r="A4" s="615" t="s">
        <v>61</v>
      </c>
      <c r="B4" s="56" t="s">
        <v>1</v>
      </c>
      <c r="C4">
        <v>22.5</v>
      </c>
      <c r="D4" s="63" t="s">
        <v>61</v>
      </c>
      <c r="E4" s="56" t="s">
        <v>1</v>
      </c>
      <c r="F4" s="1242">
        <v>22.5</v>
      </c>
    </row>
    <row r="5" spans="1:6" ht="18" x14ac:dyDescent="0.25">
      <c r="A5" s="276" t="s">
        <v>320</v>
      </c>
      <c r="B5" s="92"/>
      <c r="C5" s="614">
        <f>C2</f>
        <v>67.5</v>
      </c>
      <c r="D5" s="92"/>
      <c r="E5" s="12"/>
      <c r="F5" s="624">
        <f>F2</f>
        <v>67.5</v>
      </c>
    </row>
    <row r="6" spans="1:6" ht="18" x14ac:dyDescent="0.25">
      <c r="A6" s="266" t="s">
        <v>321</v>
      </c>
      <c r="B6" s="92"/>
      <c r="C6" s="283">
        <f>C5/(15*35)</f>
        <v>0.12857142857142856</v>
      </c>
      <c r="D6" s="92"/>
      <c r="E6" s="12"/>
      <c r="F6" s="283">
        <f>F5/(15*35)</f>
        <v>0.12857142857142856</v>
      </c>
    </row>
    <row r="7" spans="1:6" ht="18" x14ac:dyDescent="0.25">
      <c r="A7" s="266" t="s">
        <v>322</v>
      </c>
      <c r="B7" s="21"/>
      <c r="C7" s="616">
        <f>F6</f>
        <v>0.12857142857142856</v>
      </c>
      <c r="D7" s="21"/>
      <c r="E7" s="12"/>
      <c r="F7" s="1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0"/>
  <sheetViews>
    <sheetView workbookViewId="0">
      <selection activeCell="B9" sqref="B9"/>
    </sheetView>
  </sheetViews>
  <sheetFormatPr defaultRowHeight="13.8" x14ac:dyDescent="0.25"/>
  <cols>
    <col min="1" max="1" width="25.5" style="72" customWidth="1"/>
    <col min="2" max="2" width="8.796875" style="72"/>
    <col min="3" max="3" width="10.3984375" style="72" customWidth="1"/>
    <col min="4" max="5" width="8.796875" style="72"/>
    <col min="6" max="6" width="10.19921875" style="72" customWidth="1"/>
    <col min="7" max="16384" width="8.796875" style="72"/>
  </cols>
  <sheetData>
    <row r="1" spans="1:6" x14ac:dyDescent="0.25">
      <c r="A1" s="92"/>
      <c r="B1" s="70"/>
      <c r="C1" s="69" t="s">
        <v>512</v>
      </c>
      <c r="D1" s="70"/>
      <c r="E1" s="70"/>
      <c r="F1" s="71" t="s">
        <v>513</v>
      </c>
    </row>
    <row r="2" spans="1:6" ht="21" x14ac:dyDescent="0.25">
      <c r="A2" s="286" t="s">
        <v>44</v>
      </c>
      <c r="B2" s="62"/>
      <c r="C2" s="372">
        <f>SUM(C3)</f>
        <v>10.5</v>
      </c>
      <c r="D2" s="81"/>
      <c r="E2" s="62"/>
      <c r="F2" s="372">
        <f>SUM(F3)</f>
        <v>10.5</v>
      </c>
    </row>
    <row r="3" spans="1:6" ht="21" x14ac:dyDescent="0.25">
      <c r="A3" s="73" t="s">
        <v>47</v>
      </c>
      <c r="B3" s="62" t="s">
        <v>2</v>
      </c>
      <c r="C3" s="81">
        <v>10.5</v>
      </c>
      <c r="D3" s="73" t="s">
        <v>47</v>
      </c>
      <c r="E3" s="62" t="s">
        <v>2</v>
      </c>
      <c r="F3" s="81">
        <v>10.5</v>
      </c>
    </row>
    <row r="4" spans="1:6" ht="14.4" thickBot="1" x14ac:dyDescent="0.3">
      <c r="A4" s="87"/>
      <c r="B4" s="87"/>
      <c r="C4" s="87"/>
      <c r="D4" s="87"/>
      <c r="E4" s="87"/>
      <c r="F4" s="87"/>
    </row>
    <row r="5" spans="1:6" ht="21" x14ac:dyDescent="0.25">
      <c r="A5" s="1105" t="s">
        <v>72</v>
      </c>
      <c r="B5" s="1119"/>
      <c r="C5" s="1106">
        <f>SUM(C6:C8)</f>
        <v>90.75</v>
      </c>
      <c r="D5" s="1199"/>
      <c r="E5" s="1119"/>
      <c r="F5" s="1106">
        <f>SUM(F6:F7)</f>
        <v>48</v>
      </c>
    </row>
    <row r="6" spans="1:6" ht="21" x14ac:dyDescent="0.4">
      <c r="A6" s="224" t="s">
        <v>73</v>
      </c>
      <c r="B6" s="53" t="s">
        <v>2</v>
      </c>
      <c r="C6" s="87">
        <v>22.5</v>
      </c>
      <c r="D6" s="951" t="s">
        <v>46</v>
      </c>
      <c r="E6" s="62" t="s">
        <v>2</v>
      </c>
      <c r="F6" s="87">
        <v>37.5</v>
      </c>
    </row>
    <row r="7" spans="1:6" ht="21" x14ac:dyDescent="0.4">
      <c r="A7" s="224" t="s">
        <v>46</v>
      </c>
      <c r="B7" s="53" t="s">
        <v>2</v>
      </c>
      <c r="C7" s="87">
        <v>56.25</v>
      </c>
      <c r="D7" s="951" t="s">
        <v>47</v>
      </c>
      <c r="E7" s="62" t="s">
        <v>1</v>
      </c>
      <c r="F7" s="87">
        <v>10.5</v>
      </c>
    </row>
    <row r="8" spans="1:6" ht="21.6" thickBot="1" x14ac:dyDescent="0.3">
      <c r="A8" s="1228" t="s">
        <v>47</v>
      </c>
      <c r="B8" s="1229" t="s">
        <v>1</v>
      </c>
      <c r="C8" s="1122">
        <v>12</v>
      </c>
      <c r="D8" s="1201"/>
      <c r="E8" s="1259"/>
      <c r="F8" s="1260"/>
    </row>
    <row r="9" spans="1:6" ht="21" x14ac:dyDescent="0.25">
      <c r="A9" s="1089" t="s">
        <v>75</v>
      </c>
      <c r="B9" s="85"/>
      <c r="C9" s="876"/>
      <c r="D9" s="76"/>
      <c r="E9" s="85"/>
      <c r="F9" s="876">
        <f>SUM(F10)</f>
        <v>11.25</v>
      </c>
    </row>
    <row r="10" spans="1:6" ht="21" x14ac:dyDescent="0.4">
      <c r="A10" s="224"/>
      <c r="B10" s="62"/>
      <c r="C10" s="87"/>
      <c r="D10" s="951" t="s">
        <v>73</v>
      </c>
      <c r="E10" s="62" t="s">
        <v>2</v>
      </c>
      <c r="F10" s="87">
        <v>11.25</v>
      </c>
    </row>
    <row r="11" spans="1:6" ht="21.6" thickBot="1" x14ac:dyDescent="0.45">
      <c r="A11" s="199"/>
      <c r="B11" s="1026"/>
      <c r="C11" s="68"/>
      <c r="D11" s="1215"/>
      <c r="E11" s="1026"/>
      <c r="F11" s="68"/>
    </row>
    <row r="12" spans="1:6" x14ac:dyDescent="0.25">
      <c r="A12" s="1158" t="s">
        <v>69</v>
      </c>
      <c r="B12" s="1195"/>
      <c r="C12" s="1124">
        <f>SUM(C13)</f>
        <v>22.5</v>
      </c>
      <c r="D12" s="1195"/>
      <c r="E12" s="1195"/>
      <c r="F12" s="1261"/>
    </row>
    <row r="13" spans="1:6" ht="21.6" thickBot="1" x14ac:dyDescent="0.3">
      <c r="A13" s="1201" t="s">
        <v>46</v>
      </c>
      <c r="B13" s="1064" t="s">
        <v>2</v>
      </c>
      <c r="C13" s="1262">
        <v>22.5</v>
      </c>
      <c r="D13" s="1194"/>
      <c r="E13" s="1194"/>
      <c r="F13" s="1194"/>
    </row>
    <row r="14" spans="1:6" ht="21" x14ac:dyDescent="0.25">
      <c r="A14" s="286" t="s">
        <v>82</v>
      </c>
      <c r="B14" s="62"/>
      <c r="C14" s="372">
        <f>SUM(C15:C17)</f>
        <v>68.25</v>
      </c>
      <c r="D14" s="73"/>
      <c r="E14" s="62"/>
      <c r="F14" s="621">
        <f>SUM(F15,F16,F17)</f>
        <v>22.5</v>
      </c>
    </row>
    <row r="15" spans="1:6" ht="21" x14ac:dyDescent="0.25">
      <c r="A15" s="224" t="s">
        <v>46</v>
      </c>
      <c r="B15" s="62" t="s">
        <v>2</v>
      </c>
      <c r="C15" s="87">
        <v>45</v>
      </c>
      <c r="D15" s="73" t="s">
        <v>46</v>
      </c>
      <c r="E15" s="62" t="s">
        <v>2</v>
      </c>
      <c r="F15" s="849">
        <v>22.5</v>
      </c>
    </row>
    <row r="16" spans="1:6" ht="21" x14ac:dyDescent="0.25">
      <c r="A16" s="224" t="s">
        <v>73</v>
      </c>
      <c r="B16" s="62" t="s">
        <v>2</v>
      </c>
      <c r="C16" s="87">
        <v>11.25</v>
      </c>
      <c r="D16" s="73"/>
      <c r="E16" s="62"/>
      <c r="F16" s="88"/>
    </row>
    <row r="17" spans="1:6" ht="21.6" thickBot="1" x14ac:dyDescent="0.3">
      <c r="A17" s="73" t="s">
        <v>83</v>
      </c>
      <c r="B17" s="84" t="s">
        <v>1</v>
      </c>
      <c r="C17" s="849">
        <v>12</v>
      </c>
      <c r="D17" s="83"/>
      <c r="E17" s="84"/>
      <c r="F17" s="1263"/>
    </row>
    <row r="18" spans="1:6" x14ac:dyDescent="0.25">
      <c r="A18" s="1264" t="s">
        <v>90</v>
      </c>
      <c r="B18" s="1195"/>
      <c r="C18" s="1124"/>
      <c r="D18" s="1195"/>
      <c r="E18" s="1195"/>
      <c r="F18" s="1265">
        <f>SUM(F19)</f>
        <v>11.25</v>
      </c>
    </row>
    <row r="19" spans="1:6" ht="21.6" thickBot="1" x14ac:dyDescent="0.3">
      <c r="A19" s="1201"/>
      <c r="B19" s="1064"/>
      <c r="C19" s="1262"/>
      <c r="D19" s="1201" t="s">
        <v>46</v>
      </c>
      <c r="E19" s="1064" t="s">
        <v>2</v>
      </c>
      <c r="F19" s="1266">
        <v>11.25</v>
      </c>
    </row>
    <row r="20" spans="1:6" ht="21" x14ac:dyDescent="0.25">
      <c r="A20" s="1267" t="s">
        <v>476</v>
      </c>
      <c r="B20" s="60"/>
      <c r="C20" s="90"/>
      <c r="D20" s="816"/>
      <c r="E20" s="60"/>
      <c r="F20" s="1061">
        <f>SUM(F21)</f>
        <v>4.5</v>
      </c>
    </row>
    <row r="21" spans="1:6" ht="21.6" thickBot="1" x14ac:dyDescent="0.45">
      <c r="A21" s="68"/>
      <c r="B21" s="71"/>
      <c r="C21" s="71"/>
      <c r="D21" s="998" t="s">
        <v>47</v>
      </c>
      <c r="E21" s="122" t="s">
        <v>1</v>
      </c>
      <c r="F21" s="344">
        <v>4.5</v>
      </c>
    </row>
    <row r="22" spans="1:6" ht="21" x14ac:dyDescent="0.25">
      <c r="A22" s="1268" t="s">
        <v>439</v>
      </c>
      <c r="B22" s="1069"/>
      <c r="C22" s="1120">
        <f>SUM(C23)</f>
        <v>3</v>
      </c>
      <c r="D22" s="1269"/>
      <c r="E22" s="1069"/>
      <c r="F22" s="1169"/>
    </row>
    <row r="23" spans="1:6" s="80" customFormat="1" ht="21.6" thickBot="1" x14ac:dyDescent="0.45">
      <c r="A23" s="1059" t="s">
        <v>441</v>
      </c>
      <c r="B23" s="1057" t="s">
        <v>670</v>
      </c>
      <c r="C23" s="1146">
        <v>3</v>
      </c>
      <c r="D23" s="1147"/>
      <c r="E23" s="1143"/>
      <c r="F23" s="1270"/>
    </row>
    <row r="24" spans="1:6" ht="20.399999999999999" x14ac:dyDescent="0.25">
      <c r="A24" s="1271" t="s">
        <v>371</v>
      </c>
      <c r="B24" s="819"/>
      <c r="C24" s="1061">
        <f>SUM(C25:C25)</f>
        <v>1.5</v>
      </c>
      <c r="D24" s="816"/>
      <c r="E24" s="819"/>
      <c r="F24" s="90"/>
    </row>
    <row r="25" spans="1:6" ht="14.4" thickBot="1" x14ac:dyDescent="0.3">
      <c r="A25" s="68" t="s">
        <v>812</v>
      </c>
      <c r="B25" s="71" t="s">
        <v>1</v>
      </c>
      <c r="C25" s="344">
        <v>1.5</v>
      </c>
      <c r="D25" s="253"/>
      <c r="E25" s="71"/>
      <c r="F25" s="71"/>
    </row>
    <row r="26" spans="1:6" x14ac:dyDescent="0.25">
      <c r="A26" s="1202" t="s">
        <v>445</v>
      </c>
      <c r="B26" s="1080"/>
      <c r="C26" s="1101">
        <f>SUM(C27)</f>
        <v>1.5</v>
      </c>
      <c r="D26" s="1102"/>
      <c r="E26" s="1080"/>
      <c r="F26" s="1101"/>
    </row>
    <row r="27" spans="1:6" ht="21.6" thickBot="1" x14ac:dyDescent="0.45">
      <c r="A27" s="1194" t="s">
        <v>812</v>
      </c>
      <c r="B27" s="1057" t="s">
        <v>670</v>
      </c>
      <c r="C27" s="1058">
        <v>1.5</v>
      </c>
      <c r="D27" s="1112"/>
      <c r="E27" s="1113"/>
      <c r="F27" s="1058"/>
    </row>
    <row r="28" spans="1:6" ht="18" x14ac:dyDescent="0.25">
      <c r="A28" s="460" t="s">
        <v>320</v>
      </c>
      <c r="B28" s="7"/>
      <c r="C28" s="1207">
        <f>C2+C5+C9+C12+C14+C18+C20+C22+C24+C26</f>
        <v>198</v>
      </c>
      <c r="D28" s="85"/>
      <c r="E28" s="7"/>
      <c r="F28" s="1207">
        <f>F2+F5+F9+F12+F14+F18+F20+F22+F24+F26</f>
        <v>108</v>
      </c>
    </row>
    <row r="29" spans="1:6" ht="18" x14ac:dyDescent="0.25">
      <c r="A29" s="266" t="s">
        <v>321</v>
      </c>
      <c r="B29" s="12"/>
      <c r="C29" s="274">
        <f>C28/(15*35)</f>
        <v>0.37714285714285717</v>
      </c>
      <c r="D29" s="92"/>
      <c r="E29" s="12"/>
      <c r="F29" s="271">
        <f>F28/(15*35)</f>
        <v>0.20571428571428571</v>
      </c>
    </row>
    <row r="30" spans="1:6" ht="18" x14ac:dyDescent="0.25">
      <c r="A30" s="266" t="s">
        <v>322</v>
      </c>
      <c r="B30" s="12"/>
      <c r="C30" s="274">
        <f>(C29+F29)/2</f>
        <v>0.29142857142857143</v>
      </c>
      <c r="D30" s="21"/>
      <c r="E30" s="12"/>
      <c r="F30" s="1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1"/>
  <sheetViews>
    <sheetView workbookViewId="0">
      <selection activeCell="G10" sqref="G10"/>
    </sheetView>
  </sheetViews>
  <sheetFormatPr defaultRowHeight="13.8" x14ac:dyDescent="0.25"/>
  <cols>
    <col min="1" max="1" width="23.296875" customWidth="1"/>
    <col min="3" max="3" width="10.296875" customWidth="1"/>
    <col min="6" max="6" width="9.8984375" customWidth="1"/>
  </cols>
  <sheetData>
    <row r="1" spans="1:6" x14ac:dyDescent="0.25">
      <c r="A1" s="21"/>
      <c r="B1" s="9"/>
      <c r="C1" s="8" t="s">
        <v>512</v>
      </c>
      <c r="D1" s="9"/>
      <c r="E1" s="9"/>
      <c r="F1" s="8" t="s">
        <v>513</v>
      </c>
    </row>
    <row r="2" spans="1:6" ht="21" x14ac:dyDescent="0.25">
      <c r="A2" s="286" t="s">
        <v>324</v>
      </c>
      <c r="B2" s="62"/>
      <c r="C2" s="13">
        <f>SUM(C5:C5)</f>
        <v>21</v>
      </c>
      <c r="D2" s="81"/>
      <c r="E2" s="62"/>
      <c r="F2" s="13">
        <f>SUM(F5:F6)</f>
        <v>42</v>
      </c>
    </row>
    <row r="3" spans="1:6" ht="21" hidden="1" x14ac:dyDescent="0.25">
      <c r="A3" s="13"/>
      <c r="B3" s="62" t="s">
        <v>30</v>
      </c>
      <c r="C3" s="13"/>
      <c r="D3" s="13"/>
      <c r="E3" s="62" t="s">
        <v>30</v>
      </c>
      <c r="F3" s="13"/>
    </row>
    <row r="4" spans="1:6" ht="21" hidden="1" x14ac:dyDescent="0.25">
      <c r="A4" s="13"/>
      <c r="B4" s="62" t="s">
        <v>30</v>
      </c>
      <c r="C4" s="13"/>
      <c r="D4" s="13"/>
      <c r="E4" s="62" t="s">
        <v>30</v>
      </c>
      <c r="F4" s="13"/>
    </row>
    <row r="5" spans="1:6" ht="21" x14ac:dyDescent="0.4">
      <c r="A5" s="951" t="s">
        <v>47</v>
      </c>
      <c r="B5" s="62" t="s">
        <v>1</v>
      </c>
      <c r="C5" s="13">
        <v>21</v>
      </c>
      <c r="D5" s="951" t="s">
        <v>73</v>
      </c>
      <c r="E5" s="62" t="s">
        <v>2</v>
      </c>
      <c r="F5" s="13">
        <v>22.5</v>
      </c>
    </row>
    <row r="6" spans="1:6" ht="21.6" thickBot="1" x14ac:dyDescent="0.45">
      <c r="A6" s="5"/>
      <c r="B6" s="5"/>
      <c r="C6" s="5"/>
      <c r="D6" s="1215" t="s">
        <v>47</v>
      </c>
      <c r="E6" s="1026" t="s">
        <v>1</v>
      </c>
      <c r="F6" s="5">
        <v>19.5</v>
      </c>
    </row>
    <row r="7" spans="1:6" ht="21" x14ac:dyDescent="0.25">
      <c r="A7" s="1158" t="s">
        <v>66</v>
      </c>
      <c r="B7" s="1219"/>
      <c r="C7" s="1223">
        <f>SUM(C8:C12)</f>
        <v>119.25</v>
      </c>
      <c r="D7" s="1196"/>
      <c r="E7" s="1195"/>
      <c r="F7" s="1223">
        <f>SUM(F8:F12)</f>
        <v>119.25</v>
      </c>
    </row>
    <row r="8" spans="1:6" ht="21" x14ac:dyDescent="0.4">
      <c r="A8" s="224" t="s">
        <v>67</v>
      </c>
      <c r="B8" s="53" t="s">
        <v>30</v>
      </c>
      <c r="C8" s="13">
        <v>30</v>
      </c>
      <c r="D8" s="951" t="s">
        <v>46</v>
      </c>
      <c r="E8" s="660" t="s">
        <v>668</v>
      </c>
      <c r="F8" s="13">
        <v>45</v>
      </c>
    </row>
    <row r="9" spans="1:6" ht="21" x14ac:dyDescent="0.4">
      <c r="A9" s="224" t="s">
        <v>67</v>
      </c>
      <c r="B9" s="53" t="s">
        <v>1</v>
      </c>
      <c r="C9" s="13">
        <v>22.5</v>
      </c>
      <c r="D9" s="951" t="s">
        <v>67</v>
      </c>
      <c r="E9" s="660" t="s">
        <v>667</v>
      </c>
      <c r="F9" s="13">
        <v>30</v>
      </c>
    </row>
    <row r="10" spans="1:6" ht="21" x14ac:dyDescent="0.4">
      <c r="A10" s="224" t="s">
        <v>46</v>
      </c>
      <c r="B10" s="53" t="s">
        <v>2</v>
      </c>
      <c r="C10" s="13">
        <v>56.25</v>
      </c>
      <c r="D10" s="951" t="s">
        <v>67</v>
      </c>
      <c r="E10" s="660" t="s">
        <v>670</v>
      </c>
      <c r="F10" s="13">
        <v>22.5</v>
      </c>
    </row>
    <row r="11" spans="1:6" ht="21" x14ac:dyDescent="0.4">
      <c r="A11" s="224" t="s">
        <v>47</v>
      </c>
      <c r="B11" s="53" t="s">
        <v>1</v>
      </c>
      <c r="C11" s="13">
        <v>10.5</v>
      </c>
      <c r="D11" s="951" t="s">
        <v>47</v>
      </c>
      <c r="E11" s="660" t="s">
        <v>670</v>
      </c>
      <c r="F11" s="13">
        <v>10.5</v>
      </c>
    </row>
    <row r="12" spans="1:6" ht="21.6" thickBot="1" x14ac:dyDescent="0.45">
      <c r="A12" s="1221"/>
      <c r="B12" s="1244"/>
      <c r="C12" s="1272"/>
      <c r="D12" s="1221" t="s">
        <v>73</v>
      </c>
      <c r="E12" s="1244" t="s">
        <v>668</v>
      </c>
      <c r="F12" s="1272">
        <v>11.25</v>
      </c>
    </row>
    <row r="13" spans="1:6" x14ac:dyDescent="0.25">
      <c r="A13" s="146" t="s">
        <v>48</v>
      </c>
      <c r="B13" s="7"/>
      <c r="C13" s="1273">
        <f>SUM(C14)</f>
        <v>13.125</v>
      </c>
      <c r="D13" s="7"/>
      <c r="E13" s="7"/>
      <c r="F13" s="7"/>
    </row>
    <row r="14" spans="1:6" ht="21.6" thickBot="1" x14ac:dyDescent="0.65">
      <c r="A14" s="1274" t="s">
        <v>46</v>
      </c>
      <c r="B14" s="617" t="s">
        <v>2</v>
      </c>
      <c r="C14" s="1275">
        <v>13.125</v>
      </c>
      <c r="D14" s="13"/>
      <c r="E14" s="13"/>
      <c r="F14" s="13"/>
    </row>
    <row r="15" spans="1:6" s="80" customFormat="1" x14ac:dyDescent="0.25">
      <c r="A15" s="1276" t="s">
        <v>477</v>
      </c>
      <c r="B15" s="1093"/>
      <c r="C15" s="1106">
        <f>SUM(C16)</f>
        <v>1.5</v>
      </c>
      <c r="D15" s="1094"/>
      <c r="E15" s="1093"/>
      <c r="F15" s="1277"/>
    </row>
    <row r="16" spans="1:6" s="72" customFormat="1" ht="21.6" thickBot="1" x14ac:dyDescent="0.45">
      <c r="A16" s="1059" t="s">
        <v>441</v>
      </c>
      <c r="B16" s="1057" t="s">
        <v>670</v>
      </c>
      <c r="C16" s="1058">
        <v>1.5</v>
      </c>
      <c r="D16" s="1059"/>
      <c r="E16" s="1057"/>
      <c r="F16" s="1113"/>
    </row>
    <row r="17" spans="1:6" s="72" customFormat="1" ht="21" x14ac:dyDescent="0.25">
      <c r="A17" s="1267" t="s">
        <v>484</v>
      </c>
      <c r="B17" s="60"/>
      <c r="C17" s="1061">
        <f>SUM(C18)</f>
        <v>4.5</v>
      </c>
      <c r="D17" s="816"/>
      <c r="E17" s="60"/>
      <c r="F17" s="1278"/>
    </row>
    <row r="18" spans="1:6" s="72" customFormat="1" ht="21" x14ac:dyDescent="0.4">
      <c r="A18" s="823" t="s">
        <v>441</v>
      </c>
      <c r="B18" s="824" t="s">
        <v>1</v>
      </c>
      <c r="C18" s="727">
        <v>4.5</v>
      </c>
      <c r="D18" s="823"/>
      <c r="E18" s="129"/>
      <c r="F18" s="1279"/>
    </row>
    <row r="19" spans="1:6" ht="18" x14ac:dyDescent="0.25">
      <c r="A19" s="276" t="s">
        <v>320</v>
      </c>
      <c r="B19" s="12"/>
      <c r="C19" s="1280">
        <f>C2+C7+C13+C15+C17</f>
        <v>159.375</v>
      </c>
      <c r="D19" s="92"/>
      <c r="E19" s="12"/>
      <c r="F19" s="1280">
        <f>F2+F7+F13+F15+F17</f>
        <v>161.25</v>
      </c>
    </row>
    <row r="20" spans="1:6" ht="18" x14ac:dyDescent="0.25">
      <c r="A20" s="266" t="s">
        <v>321</v>
      </c>
      <c r="B20" s="12"/>
      <c r="C20" s="271">
        <f>C19/(15*35)</f>
        <v>0.30357142857142855</v>
      </c>
      <c r="D20" s="92"/>
      <c r="E20" s="12"/>
      <c r="F20" s="271">
        <f>F19/(15*35)</f>
        <v>0.30714285714285716</v>
      </c>
    </row>
    <row r="21" spans="1:6" ht="18" x14ac:dyDescent="0.25">
      <c r="A21" s="266" t="s">
        <v>322</v>
      </c>
      <c r="B21" s="12"/>
      <c r="C21" s="278">
        <f>F20</f>
        <v>0.30714285714285716</v>
      </c>
      <c r="D21" s="21"/>
      <c r="E21" s="12"/>
      <c r="F21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workbookViewId="0">
      <selection activeCell="C7" sqref="C7"/>
    </sheetView>
  </sheetViews>
  <sheetFormatPr defaultRowHeight="13.8" x14ac:dyDescent="0.25"/>
  <cols>
    <col min="1" max="1" width="20.3984375" customWidth="1"/>
    <col min="2" max="2" width="8.09765625" customWidth="1"/>
    <col min="3" max="3" width="12.796875" customWidth="1"/>
    <col min="4" max="4" width="15.59765625" style="298" customWidth="1"/>
    <col min="5" max="5" width="8.796875" style="298"/>
    <col min="6" max="6" width="10.296875" style="232" bestFit="1" customWidth="1"/>
    <col min="7" max="8" width="0" hidden="1" customWidth="1"/>
  </cols>
  <sheetData>
    <row r="1" spans="1:8" x14ac:dyDescent="0.25">
      <c r="A1" s="13"/>
      <c r="B1" s="13"/>
      <c r="C1" s="17" t="s">
        <v>512</v>
      </c>
      <c r="D1" s="305"/>
      <c r="E1" s="305"/>
      <c r="F1" s="17" t="s">
        <v>513</v>
      </c>
    </row>
    <row r="2" spans="1:8" ht="21" x14ac:dyDescent="0.4">
      <c r="A2" s="1318" t="s">
        <v>224</v>
      </c>
      <c r="B2" s="287"/>
      <c r="C2" s="320">
        <f>C3</f>
        <v>19.999998000000001</v>
      </c>
      <c r="D2" s="307"/>
      <c r="E2" s="307"/>
      <c r="F2" s="313">
        <f>SUM(F3:F5)</f>
        <v>45.999995400000003</v>
      </c>
      <c r="G2" s="240">
        <v>238</v>
      </c>
      <c r="H2" s="240" t="s">
        <v>355</v>
      </c>
    </row>
    <row r="3" spans="1:8" ht="21" x14ac:dyDescent="0.25">
      <c r="A3" s="308" t="s">
        <v>907</v>
      </c>
      <c r="B3" s="308" t="s">
        <v>139</v>
      </c>
      <c r="C3" s="371">
        <f>8*0.3333333*50%*15</f>
        <v>19.999998000000001</v>
      </c>
      <c r="D3" s="308" t="s">
        <v>893</v>
      </c>
      <c r="E3" s="317" t="s">
        <v>139</v>
      </c>
      <c r="F3" s="371">
        <f>3*0.3333333*40%*15</f>
        <v>5.9999994000000001</v>
      </c>
    </row>
    <row r="4" spans="1:8" ht="21" x14ac:dyDescent="0.25">
      <c r="A4" s="1308"/>
      <c r="B4" s="50"/>
      <c r="C4" s="1302"/>
      <c r="D4" s="308" t="s">
        <v>893</v>
      </c>
      <c r="E4" s="317" t="s">
        <v>139</v>
      </c>
      <c r="F4" s="371">
        <f>8*0.3333333*50%*15</f>
        <v>19.999998000000001</v>
      </c>
    </row>
    <row r="5" spans="1:8" ht="21" x14ac:dyDescent="0.25">
      <c r="A5" s="25"/>
      <c r="B5" s="287"/>
      <c r="C5" s="279"/>
      <c r="D5" s="11" t="s">
        <v>907</v>
      </c>
      <c r="E5" s="1317" t="s">
        <v>139</v>
      </c>
      <c r="F5" s="371">
        <f>8*0.3333333*50%*15</f>
        <v>19.999998000000001</v>
      </c>
    </row>
    <row r="6" spans="1:8" ht="21" x14ac:dyDescent="0.4">
      <c r="A6" s="1319" t="s">
        <v>910</v>
      </c>
      <c r="B6" s="287"/>
      <c r="C6" s="320">
        <f>C7</f>
        <v>19.999998000000001</v>
      </c>
      <c r="D6" s="1309"/>
      <c r="E6" s="1312"/>
      <c r="F6" s="313">
        <f>SUM(F7:F9)</f>
        <v>48.999995100000007</v>
      </c>
      <c r="G6" s="240">
        <v>238</v>
      </c>
      <c r="H6" s="240" t="s">
        <v>355</v>
      </c>
    </row>
    <row r="7" spans="1:8" ht="21" x14ac:dyDescent="0.25">
      <c r="A7" s="11" t="s">
        <v>907</v>
      </c>
      <c r="B7" s="11" t="s">
        <v>139</v>
      </c>
      <c r="C7" s="366">
        <f>8*0.3333333*50%*15</f>
        <v>19.999998000000001</v>
      </c>
      <c r="D7" s="308" t="s">
        <v>893</v>
      </c>
      <c r="E7" s="317" t="s">
        <v>139</v>
      </c>
      <c r="F7" s="371">
        <f>3*0.3333333*60%*15</f>
        <v>8.9999990999999984</v>
      </c>
    </row>
    <row r="8" spans="1:8" ht="21" x14ac:dyDescent="0.25">
      <c r="A8" s="4"/>
      <c r="B8" s="50"/>
      <c r="C8" s="335"/>
      <c r="D8" s="308" t="s">
        <v>893</v>
      </c>
      <c r="E8" s="317" t="s">
        <v>139</v>
      </c>
      <c r="F8" s="371">
        <f>8*0.3333333*50%*15</f>
        <v>19.999998000000001</v>
      </c>
    </row>
    <row r="9" spans="1:8" ht="21" x14ac:dyDescent="0.25">
      <c r="A9" s="25"/>
      <c r="B9" s="287"/>
      <c r="C9" s="279"/>
      <c r="D9" s="11" t="s">
        <v>907</v>
      </c>
      <c r="E9" s="1317" t="s">
        <v>139</v>
      </c>
      <c r="F9" s="371">
        <f>8*0.3333333*50%*15</f>
        <v>19.999998000000001</v>
      </c>
    </row>
    <row r="10" spans="1:8" ht="21" x14ac:dyDescent="0.4">
      <c r="A10" s="1336" t="s">
        <v>908</v>
      </c>
      <c r="B10" s="1335"/>
      <c r="C10" s="320">
        <f>C11</f>
        <v>39.999996000000003</v>
      </c>
      <c r="D10" s="1309"/>
      <c r="E10" s="334"/>
      <c r="F10" s="313">
        <f>SUM(F11:F11)</f>
        <v>39.999996000000003</v>
      </c>
      <c r="G10" s="240">
        <v>238</v>
      </c>
      <c r="H10" s="240" t="s">
        <v>355</v>
      </c>
    </row>
    <row r="11" spans="1:8" ht="21" x14ac:dyDescent="0.25">
      <c r="A11" s="308" t="s">
        <v>907</v>
      </c>
      <c r="B11" s="308" t="s">
        <v>139</v>
      </c>
      <c r="C11" s="371">
        <f>8*0.3333333*100%*15</f>
        <v>39.999996000000003</v>
      </c>
      <c r="D11" s="11" t="s">
        <v>907</v>
      </c>
      <c r="E11" s="1317" t="s">
        <v>139</v>
      </c>
      <c r="F11" s="371">
        <f>8*0.3333333*100%*15</f>
        <v>39.999996000000003</v>
      </c>
    </row>
    <row r="12" spans="1:8" ht="21" x14ac:dyDescent="0.25">
      <c r="A12" s="1337" t="s">
        <v>909</v>
      </c>
      <c r="B12" s="290"/>
      <c r="C12" s="607">
        <f>SUM(C13:C15)</f>
        <v>71.999992799999987</v>
      </c>
      <c r="D12" s="346"/>
      <c r="E12" s="305"/>
      <c r="F12" s="339">
        <f>SUM(F13)</f>
        <v>80.999991899999998</v>
      </c>
    </row>
    <row r="13" spans="1:8" x14ac:dyDescent="0.25">
      <c r="A13" s="399" t="s">
        <v>890</v>
      </c>
      <c r="B13" s="343" t="s">
        <v>139</v>
      </c>
      <c r="C13" s="371">
        <f>9*0.3333333*60%*15</f>
        <v>26.9999973</v>
      </c>
      <c r="D13" s="399" t="s">
        <v>890</v>
      </c>
      <c r="E13" s="343" t="s">
        <v>139</v>
      </c>
      <c r="F13" s="371">
        <f>3*9*0.3333333*60%*15</f>
        <v>80.999991899999998</v>
      </c>
    </row>
    <row r="14" spans="1:8" x14ac:dyDescent="0.25">
      <c r="A14" s="338" t="s">
        <v>890</v>
      </c>
      <c r="B14" s="285" t="s">
        <v>139</v>
      </c>
      <c r="C14" s="366">
        <f>2*6*0.3333333*60%*15</f>
        <v>35.999996399999993</v>
      </c>
      <c r="D14" s="315" t="s">
        <v>890</v>
      </c>
      <c r="E14" s="304" t="s">
        <v>139</v>
      </c>
      <c r="F14" s="335">
        <f>6*0.3333333*30%*15</f>
        <v>8.9999990999999984</v>
      </c>
    </row>
    <row r="15" spans="1:8" x14ac:dyDescent="0.25">
      <c r="A15" s="345" t="s">
        <v>890</v>
      </c>
      <c r="B15" s="102" t="s">
        <v>139</v>
      </c>
      <c r="C15" s="1311">
        <f>1*6*0.3333333*30%*15</f>
        <v>8.9999990999999984</v>
      </c>
      <c r="E15" s="1304"/>
      <c r="F15" s="335"/>
    </row>
    <row r="16" spans="1:8" ht="21" x14ac:dyDescent="0.4">
      <c r="A16" s="1338" t="s">
        <v>913</v>
      </c>
      <c r="B16" s="290"/>
      <c r="C16" s="607">
        <f>SUM(C17)</f>
        <v>5.9999994000000001</v>
      </c>
      <c r="D16" s="346"/>
      <c r="E16" s="305"/>
      <c r="F16" s="339">
        <f>SUM(F17)</f>
        <v>5.9999994000000001</v>
      </c>
    </row>
    <row r="17" spans="1:8" x14ac:dyDescent="0.25">
      <c r="A17" s="338" t="s">
        <v>890</v>
      </c>
      <c r="B17" s="285" t="s">
        <v>139</v>
      </c>
      <c r="C17" s="366">
        <f>6*0.3333333*20%*15</f>
        <v>5.9999994000000001</v>
      </c>
      <c r="D17" s="315" t="s">
        <v>890</v>
      </c>
      <c r="E17" s="304" t="s">
        <v>139</v>
      </c>
      <c r="F17" s="335">
        <f>6*0.3333333*20%*15</f>
        <v>5.9999994000000001</v>
      </c>
    </row>
    <row r="18" spans="1:8" ht="21" x14ac:dyDescent="0.25">
      <c r="A18" s="1339" t="s">
        <v>115</v>
      </c>
      <c r="B18" s="1335"/>
      <c r="C18" s="350">
        <f>SUM(C19)</f>
        <v>40.499995949999999</v>
      </c>
      <c r="D18" s="326"/>
      <c r="E18" s="334"/>
      <c r="F18" s="1332">
        <f>SUM(F19)</f>
        <v>20.249997974999999</v>
      </c>
      <c r="G18" s="240">
        <v>238</v>
      </c>
      <c r="H18" s="240" t="s">
        <v>355</v>
      </c>
    </row>
    <row r="19" spans="1:8" ht="21" x14ac:dyDescent="0.25">
      <c r="A19" s="50" t="s">
        <v>890</v>
      </c>
      <c r="B19" s="1303" t="s">
        <v>139</v>
      </c>
      <c r="C19" s="1330">
        <f>9*0.3333333*90%*15</f>
        <v>40.499995949999999</v>
      </c>
      <c r="D19" s="1295" t="s">
        <v>890</v>
      </c>
      <c r="E19" s="304" t="s">
        <v>139</v>
      </c>
      <c r="F19" s="1331">
        <f>9*0.3333333*45%*15</f>
        <v>20.249997974999999</v>
      </c>
    </row>
    <row r="20" spans="1:8" ht="21" x14ac:dyDescent="0.4">
      <c r="A20" s="499" t="s">
        <v>892</v>
      </c>
      <c r="B20" s="18"/>
      <c r="C20" s="339">
        <f>SUM(C21:C22)</f>
        <v>11.9999988</v>
      </c>
      <c r="D20" s="18"/>
      <c r="E20" s="334"/>
      <c r="F20" s="297">
        <f>C21</f>
        <v>5.9999994000000001</v>
      </c>
    </row>
    <row r="21" spans="1:8" ht="21" x14ac:dyDescent="0.6">
      <c r="A21" s="285" t="s">
        <v>893</v>
      </c>
      <c r="B21" s="326" t="s">
        <v>139</v>
      </c>
      <c r="C21" s="366">
        <f>6*0.3333333*20%*15</f>
        <v>5.9999994000000001</v>
      </c>
      <c r="D21" s="1327" t="s">
        <v>890</v>
      </c>
      <c r="E21" s="1310" t="s">
        <v>139</v>
      </c>
      <c r="F21" s="1322">
        <f>6*0.3333333*20%*15</f>
        <v>5.9999994000000001</v>
      </c>
    </row>
    <row r="22" spans="1:8" x14ac:dyDescent="0.25">
      <c r="A22" s="304" t="s">
        <v>890</v>
      </c>
      <c r="B22" s="1313" t="s">
        <v>139</v>
      </c>
      <c r="C22" s="335">
        <f>6*0.3333333*20%*15</f>
        <v>5.9999994000000001</v>
      </c>
      <c r="E22" s="1304"/>
      <c r="F22" s="1235"/>
    </row>
    <row r="23" spans="1:8" ht="21" x14ac:dyDescent="0.4">
      <c r="A23" s="499" t="s">
        <v>912</v>
      </c>
      <c r="B23" s="18"/>
      <c r="C23" s="339">
        <f>SUM(C24:C26)</f>
        <v>56.999994299999997</v>
      </c>
      <c r="D23" s="18"/>
      <c r="E23" s="334"/>
      <c r="F23" s="297">
        <f>SUM(F24:F25)</f>
        <v>68.999993099999998</v>
      </c>
    </row>
    <row r="24" spans="1:8" x14ac:dyDescent="0.25">
      <c r="A24" s="399" t="s">
        <v>890</v>
      </c>
      <c r="B24" s="343" t="s">
        <v>139</v>
      </c>
      <c r="C24" s="371">
        <f>9*0.3333333*40%*15</f>
        <v>17.9999982</v>
      </c>
      <c r="D24" s="399" t="s">
        <v>890</v>
      </c>
      <c r="E24" s="343" t="s">
        <v>139</v>
      </c>
      <c r="F24" s="371">
        <f>3*9*0.3333333*40%*15</f>
        <v>53.999994600000001</v>
      </c>
    </row>
    <row r="25" spans="1:8" x14ac:dyDescent="0.25">
      <c r="A25" s="338" t="s">
        <v>890</v>
      </c>
      <c r="B25" s="285" t="s">
        <v>139</v>
      </c>
      <c r="C25" s="366">
        <f>2*6*0.3333333*40%*15</f>
        <v>23.9999976</v>
      </c>
      <c r="D25" s="315" t="s">
        <v>890</v>
      </c>
      <c r="E25" s="304" t="s">
        <v>139</v>
      </c>
      <c r="F25" s="335">
        <f>6*0.3333333*50%*15</f>
        <v>14.999998499999998</v>
      </c>
    </row>
    <row r="26" spans="1:8" x14ac:dyDescent="0.25">
      <c r="A26" s="345" t="s">
        <v>890</v>
      </c>
      <c r="B26" s="102" t="s">
        <v>139</v>
      </c>
      <c r="C26" s="1311">
        <f>1*6*0.3333333*50%*15</f>
        <v>14.999998499999998</v>
      </c>
      <c r="D26" s="1304"/>
      <c r="E26" s="1304"/>
      <c r="F26" s="1235"/>
    </row>
    <row r="27" spans="1:8" ht="21" x14ac:dyDescent="0.4">
      <c r="A27" s="1320" t="s">
        <v>914</v>
      </c>
      <c r="B27" s="14"/>
      <c r="C27" s="331"/>
      <c r="D27" s="1309"/>
      <c r="E27" s="334"/>
      <c r="F27" s="313">
        <f>SUM(F28:F32)</f>
        <v>120.49998795</v>
      </c>
      <c r="G27" s="240">
        <v>238</v>
      </c>
      <c r="H27" s="240" t="s">
        <v>355</v>
      </c>
    </row>
    <row r="28" spans="1:8" ht="21" x14ac:dyDescent="0.25">
      <c r="A28" s="21"/>
      <c r="B28" s="12"/>
      <c r="C28" s="15"/>
      <c r="D28" s="370" t="s">
        <v>893</v>
      </c>
      <c r="E28" s="317" t="s">
        <v>139</v>
      </c>
      <c r="F28" s="366">
        <f>6*0.3333333*40%*15</f>
        <v>11.9999988</v>
      </c>
    </row>
    <row r="29" spans="1:8" ht="21" x14ac:dyDescent="0.4">
      <c r="A29" s="1334" t="s">
        <v>915</v>
      </c>
      <c r="B29" s="22"/>
      <c r="C29" s="331"/>
      <c r="D29" s="1309"/>
      <c r="E29" s="334"/>
      <c r="F29" s="313">
        <f>SUM(F30:F31)</f>
        <v>51.999994800000003</v>
      </c>
      <c r="G29" s="240">
        <v>238</v>
      </c>
      <c r="H29" s="240" t="s">
        <v>355</v>
      </c>
    </row>
    <row r="30" spans="1:8" ht="17.399999999999999" customHeight="1" x14ac:dyDescent="0.25">
      <c r="D30" s="370" t="s">
        <v>907</v>
      </c>
      <c r="E30" s="317" t="s">
        <v>139</v>
      </c>
      <c r="F30" s="366">
        <f>6*0.3333333*40%*15</f>
        <v>11.9999988</v>
      </c>
    </row>
    <row r="31" spans="1:8" ht="17.399999999999999" customHeight="1" x14ac:dyDescent="0.25">
      <c r="D31" s="370" t="s">
        <v>907</v>
      </c>
      <c r="E31" s="317" t="s">
        <v>139</v>
      </c>
      <c r="F31" s="366">
        <f>8*0.3333333*100%*15</f>
        <v>39.999996000000003</v>
      </c>
    </row>
    <row r="32" spans="1:8" ht="21" x14ac:dyDescent="0.4">
      <c r="A32" s="499" t="s">
        <v>891</v>
      </c>
      <c r="B32" s="18"/>
      <c r="C32" s="297">
        <f>C33</f>
        <v>4.4999995500000001</v>
      </c>
      <c r="D32" s="18"/>
      <c r="E32" s="334"/>
      <c r="F32" s="1333">
        <f>SUM(F33)</f>
        <v>4.4999995500000001</v>
      </c>
    </row>
    <row r="33" spans="1:6" ht="21" x14ac:dyDescent="0.25">
      <c r="A33" s="11" t="s">
        <v>890</v>
      </c>
      <c r="B33" s="1309" t="s">
        <v>139</v>
      </c>
      <c r="C33" s="366">
        <f>9*0.3333333*10%*15</f>
        <v>4.4999995500000001</v>
      </c>
      <c r="D33" s="1295" t="s">
        <v>890</v>
      </c>
      <c r="E33" s="304" t="s">
        <v>139</v>
      </c>
      <c r="F33" s="1331">
        <f>9*0.3333333*10%*15</f>
        <v>4.4999995500000001</v>
      </c>
    </row>
    <row r="34" spans="1:6" ht="18" x14ac:dyDescent="0.25">
      <c r="A34" s="266" t="s">
        <v>320</v>
      </c>
      <c r="B34" s="21"/>
      <c r="C34" s="318">
        <f>C2+C6+C10+C12+C16+C18+C20+C23+C27+C29+C32</f>
        <v>271.99997280000002</v>
      </c>
      <c r="D34" s="12"/>
      <c r="E34" s="305"/>
      <c r="F34" s="278">
        <f>F2+F6+F10+F12+F16+F18+F20+F23+F27+F29+F32</f>
        <v>494.24995057500001</v>
      </c>
    </row>
    <row r="35" spans="1:6" ht="18" x14ac:dyDescent="0.25">
      <c r="A35" s="266" t="s">
        <v>321</v>
      </c>
      <c r="B35" s="12"/>
      <c r="C35" s="271">
        <f>C34/(15*35)</f>
        <v>0.51809518628571438</v>
      </c>
      <c r="D35" s="12"/>
      <c r="E35" s="305"/>
      <c r="F35" s="271">
        <f>F34/(15*35)</f>
        <v>0.94142847728571433</v>
      </c>
    </row>
    <row r="36" spans="1:6" ht="18" x14ac:dyDescent="0.25">
      <c r="A36" s="266" t="s">
        <v>322</v>
      </c>
      <c r="B36" s="12"/>
      <c r="C36" s="261">
        <f>(C35+F35)/2</f>
        <v>0.72976183178571441</v>
      </c>
      <c r="D36" s="12"/>
      <c r="E36" s="305"/>
      <c r="F36" s="258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topLeftCell="A13" workbookViewId="0">
      <selection activeCell="B21" sqref="B21"/>
    </sheetView>
  </sheetViews>
  <sheetFormatPr defaultRowHeight="13.8" x14ac:dyDescent="0.25"/>
  <cols>
    <col min="1" max="1" width="20.3984375" customWidth="1"/>
    <col min="2" max="2" width="8.09765625" customWidth="1"/>
    <col min="3" max="3" width="12.796875" customWidth="1"/>
    <col min="4" max="4" width="15.59765625" style="298" customWidth="1"/>
    <col min="5" max="5" width="8.796875" style="298"/>
    <col min="6" max="6" width="10.296875" style="232" bestFit="1" customWidth="1"/>
    <col min="7" max="8" width="0" hidden="1" customWidth="1"/>
  </cols>
  <sheetData>
    <row r="1" spans="1:10" x14ac:dyDescent="0.25">
      <c r="A1" s="13"/>
      <c r="B1" s="13"/>
      <c r="C1" s="17" t="s">
        <v>512</v>
      </c>
      <c r="D1" s="305"/>
      <c r="E1" s="305"/>
      <c r="F1" s="17" t="s">
        <v>513</v>
      </c>
    </row>
    <row r="2" spans="1:10" ht="21" x14ac:dyDescent="0.25">
      <c r="A2" s="1340" t="s">
        <v>894</v>
      </c>
      <c r="B2" s="18"/>
      <c r="C2" s="331">
        <f>SUM(C3:C4)</f>
        <v>45</v>
      </c>
      <c r="D2" s="307"/>
      <c r="E2" s="307"/>
      <c r="F2" s="1332">
        <f>SUM(F3)</f>
        <v>20.249997974999999</v>
      </c>
      <c r="G2" s="240">
        <v>238</v>
      </c>
      <c r="H2" s="240" t="s">
        <v>355</v>
      </c>
    </row>
    <row r="3" spans="1:10" ht="18.600000000000001" customHeight="1" x14ac:dyDescent="0.25">
      <c r="A3" s="285" t="s">
        <v>895</v>
      </c>
      <c r="B3" s="285" t="s">
        <v>1</v>
      </c>
      <c r="C3" s="347">
        <f>45/2</f>
        <v>22.5</v>
      </c>
      <c r="D3" s="1344" t="s">
        <v>890</v>
      </c>
      <c r="E3" s="285" t="s">
        <v>139</v>
      </c>
      <c r="F3" s="1345">
        <f>9*0.3333333*45%*15</f>
        <v>20.249997974999999</v>
      </c>
    </row>
    <row r="4" spans="1:10" ht="16.2" customHeight="1" x14ac:dyDescent="0.25">
      <c r="A4" s="304" t="s">
        <v>896</v>
      </c>
      <c r="B4" s="304" t="s">
        <v>1</v>
      </c>
      <c r="C4" s="332">
        <f>45/2</f>
        <v>22.5</v>
      </c>
      <c r="D4" s="315"/>
      <c r="E4" s="1304"/>
      <c r="F4" s="1235"/>
    </row>
    <row r="5" spans="1:10" ht="21" x14ac:dyDescent="0.25">
      <c r="A5" s="1341" t="s">
        <v>897</v>
      </c>
      <c r="B5" s="18"/>
      <c r="C5" s="297">
        <f>SUM(C6:C7)</f>
        <v>66</v>
      </c>
      <c r="D5" s="334"/>
      <c r="E5" s="334"/>
      <c r="F5" s="313">
        <f>SUM(F6:F7)</f>
        <v>41.999995799999994</v>
      </c>
      <c r="G5" s="240">
        <v>238</v>
      </c>
      <c r="H5" s="240" t="s">
        <v>355</v>
      </c>
    </row>
    <row r="6" spans="1:10" s="54" customFormat="1" ht="21" x14ac:dyDescent="0.25">
      <c r="A6" s="304" t="s">
        <v>898</v>
      </c>
      <c r="B6" s="304" t="s">
        <v>3</v>
      </c>
      <c r="C6" s="1034">
        <f>3*15</f>
        <v>45</v>
      </c>
      <c r="D6" s="370" t="s">
        <v>893</v>
      </c>
      <c r="E6" s="317" t="s">
        <v>139</v>
      </c>
      <c r="F6" s="371">
        <f>6*0.3333333*60%*15</f>
        <v>17.999998199999997</v>
      </c>
    </row>
    <row r="7" spans="1:10" s="1323" customFormat="1" ht="21" x14ac:dyDescent="0.6">
      <c r="A7" s="1343" t="s">
        <v>899</v>
      </c>
      <c r="B7" s="1343" t="s">
        <v>1</v>
      </c>
      <c r="C7" s="347">
        <f>3*7</f>
        <v>21</v>
      </c>
      <c r="D7" s="1321" t="s">
        <v>907</v>
      </c>
      <c r="E7" s="305" t="s">
        <v>139</v>
      </c>
      <c r="F7" s="369">
        <f>8*0.3333333*60%*15</f>
        <v>23.9999976</v>
      </c>
    </row>
    <row r="8" spans="1:10" ht="21" x14ac:dyDescent="0.6">
      <c r="A8" s="285" t="s">
        <v>893</v>
      </c>
      <c r="B8" s="285" t="s">
        <v>139</v>
      </c>
      <c r="C8" s="366">
        <f>6*0.3333333*60%*15</f>
        <v>17.999998199999997</v>
      </c>
      <c r="D8" s="1321" t="s">
        <v>890</v>
      </c>
      <c r="E8" s="305" t="s">
        <v>139</v>
      </c>
      <c r="F8" s="369">
        <f>6*0.3333333*60%*15</f>
        <v>17.999998199999997</v>
      </c>
    </row>
    <row r="9" spans="1:10" ht="19.2" customHeight="1" x14ac:dyDescent="0.25">
      <c r="A9" s="285" t="s">
        <v>907</v>
      </c>
      <c r="B9" s="285" t="s">
        <v>139</v>
      </c>
      <c r="C9" s="366">
        <f>8*0.3333333*60%*15</f>
        <v>23.9999976</v>
      </c>
      <c r="D9" s="539"/>
      <c r="E9" s="299"/>
      <c r="F9" s="1306"/>
    </row>
    <row r="10" spans="1:10" ht="18" customHeight="1" x14ac:dyDescent="0.25">
      <c r="A10" s="304" t="s">
        <v>890</v>
      </c>
      <c r="B10" s="304" t="s">
        <v>139</v>
      </c>
      <c r="C10" s="335">
        <f>6*0.3333333*60%*15</f>
        <v>17.999998199999997</v>
      </c>
      <c r="D10" s="539"/>
      <c r="E10" s="1304"/>
      <c r="F10" s="1306"/>
    </row>
    <row r="11" spans="1:10" ht="21" x14ac:dyDescent="0.4">
      <c r="A11" s="1328" t="s">
        <v>904</v>
      </c>
      <c r="B11" s="290"/>
      <c r="C11" s="341">
        <f>C12</f>
        <v>24</v>
      </c>
      <c r="D11" s="346"/>
      <c r="E11" s="305"/>
      <c r="F11" s="245">
        <f>F12</f>
        <v>45</v>
      </c>
    </row>
    <row r="12" spans="1:10" ht="21" x14ac:dyDescent="0.4">
      <c r="A12" s="340" t="s">
        <v>899</v>
      </c>
      <c r="B12" s="285" t="s">
        <v>3</v>
      </c>
      <c r="C12" s="347">
        <f>3*8</f>
        <v>24</v>
      </c>
      <c r="D12" s="340" t="s">
        <v>905</v>
      </c>
      <c r="E12" s="285" t="s">
        <v>3</v>
      </c>
      <c r="F12" s="347">
        <v>45</v>
      </c>
    </row>
    <row r="13" spans="1:10" ht="21" x14ac:dyDescent="0.6">
      <c r="A13" s="304" t="s">
        <v>890</v>
      </c>
      <c r="B13" s="304" t="s">
        <v>139</v>
      </c>
      <c r="C13" s="335">
        <f>6*0.3333333*20%*15</f>
        <v>5.9999994000000001</v>
      </c>
      <c r="D13" s="1321" t="s">
        <v>890</v>
      </c>
      <c r="E13" s="305" t="s">
        <v>139</v>
      </c>
      <c r="F13" s="369">
        <f>6*0.3333333*20%*15</f>
        <v>5.9999994000000001</v>
      </c>
    </row>
    <row r="14" spans="1:10" ht="21" x14ac:dyDescent="0.4">
      <c r="A14" s="1328" t="s">
        <v>901</v>
      </c>
      <c r="B14" s="290"/>
      <c r="C14" s="341">
        <f>C15</f>
        <v>45</v>
      </c>
      <c r="D14" s="338"/>
      <c r="E14" s="305"/>
      <c r="F14" s="339">
        <f>F15+C16</f>
        <v>89.999995499999997</v>
      </c>
    </row>
    <row r="15" spans="1:10" ht="21" x14ac:dyDescent="0.4">
      <c r="A15" s="342" t="s">
        <v>902</v>
      </c>
      <c r="B15" s="343" t="s">
        <v>3</v>
      </c>
      <c r="C15" s="344">
        <v>45</v>
      </c>
      <c r="D15" s="1305" t="s">
        <v>903</v>
      </c>
      <c r="E15" s="285" t="s">
        <v>3</v>
      </c>
      <c r="F15" s="347">
        <v>45</v>
      </c>
    </row>
    <row r="16" spans="1:10" x14ac:dyDescent="0.25">
      <c r="A16" s="345" t="s">
        <v>890</v>
      </c>
      <c r="B16" s="1304" t="s">
        <v>139</v>
      </c>
      <c r="C16" s="335">
        <f>9*0.3333333*100%*15</f>
        <v>44.999995499999997</v>
      </c>
      <c r="D16" s="298" t="s">
        <v>890</v>
      </c>
      <c r="E16" s="1304" t="s">
        <v>139</v>
      </c>
      <c r="F16" s="1329">
        <f>9*0.3333333*100%*15</f>
        <v>44.999995499999997</v>
      </c>
      <c r="J16" s="1307"/>
    </row>
    <row r="17" spans="1:6" ht="21" x14ac:dyDescent="0.25">
      <c r="A17" s="1337" t="s">
        <v>906</v>
      </c>
      <c r="B17" s="290"/>
      <c r="C17" s="607">
        <f>C18</f>
        <v>59.999993999999994</v>
      </c>
      <c r="D17" s="1344"/>
      <c r="E17" s="334"/>
      <c r="F17" s="313">
        <f>SUM(F18)</f>
        <v>14.999998499999998</v>
      </c>
    </row>
    <row r="18" spans="1:6" ht="21" x14ac:dyDescent="0.4">
      <c r="A18" s="342" t="s">
        <v>889</v>
      </c>
      <c r="B18" s="343" t="s">
        <v>139</v>
      </c>
      <c r="C18" s="335">
        <f>12*0.3333333*100%*15</f>
        <v>59.999993999999994</v>
      </c>
      <c r="D18" s="1314" t="s">
        <v>889</v>
      </c>
      <c r="E18" s="1316" t="s">
        <v>139</v>
      </c>
      <c r="F18" s="335">
        <f>6*0.3333333*50%*15</f>
        <v>14.999998499999998</v>
      </c>
    </row>
    <row r="19" spans="1:6" ht="21" x14ac:dyDescent="0.4">
      <c r="A19" s="496" t="s">
        <v>900</v>
      </c>
      <c r="B19" s="290"/>
      <c r="C19" s="904">
        <f>SUM(C20)</f>
        <v>5.9999994000000001</v>
      </c>
      <c r="D19" s="338"/>
      <c r="E19" s="305"/>
      <c r="F19" s="339"/>
    </row>
    <row r="20" spans="1:6" ht="19.2" customHeight="1" x14ac:dyDescent="0.25">
      <c r="A20" s="304" t="s">
        <v>893</v>
      </c>
      <c r="B20" s="309" t="s">
        <v>139</v>
      </c>
      <c r="C20" s="335">
        <f>6*0.3333333*20%*15</f>
        <v>5.9999994000000001</v>
      </c>
      <c r="D20" s="285"/>
      <c r="E20" s="334"/>
      <c r="F20" s="1326"/>
    </row>
    <row r="21" spans="1:6" ht="21" x14ac:dyDescent="0.4">
      <c r="A21" s="1338" t="s">
        <v>911</v>
      </c>
      <c r="B21" s="290"/>
      <c r="C21" s="904">
        <f>SUM(C22)</f>
        <v>15.999998400000001</v>
      </c>
      <c r="D21" s="338"/>
      <c r="E21" s="305"/>
      <c r="F21" s="339">
        <f>SUM(F22:F24)</f>
        <v>42.999995699999999</v>
      </c>
    </row>
    <row r="22" spans="1:6" ht="19.2" customHeight="1" x14ac:dyDescent="0.25">
      <c r="A22" s="312" t="s">
        <v>907</v>
      </c>
      <c r="B22" s="1314" t="s">
        <v>139</v>
      </c>
      <c r="C22" s="335">
        <f>8*0.3333333*40%*15</f>
        <v>15.999998400000001</v>
      </c>
      <c r="D22" s="326" t="s">
        <v>889</v>
      </c>
      <c r="E22" s="1316" t="s">
        <v>139</v>
      </c>
      <c r="F22" s="335">
        <f>6*0.3333333*50%*15</f>
        <v>14.999998499999998</v>
      </c>
    </row>
    <row r="23" spans="1:6" ht="19.2" customHeight="1" x14ac:dyDescent="0.6">
      <c r="A23" s="304"/>
      <c r="B23" s="1342"/>
      <c r="C23" s="368"/>
      <c r="D23" s="1321" t="s">
        <v>907</v>
      </c>
      <c r="E23" s="305" t="s">
        <v>139</v>
      </c>
      <c r="F23" s="369">
        <f>8*0.3333333*40%*15</f>
        <v>15.999998400000001</v>
      </c>
    </row>
    <row r="24" spans="1:6" ht="19.2" customHeight="1" x14ac:dyDescent="0.25">
      <c r="A24" s="102"/>
      <c r="B24" s="1325"/>
      <c r="C24" s="1315"/>
      <c r="D24" s="370" t="s">
        <v>907</v>
      </c>
      <c r="E24" s="317" t="s">
        <v>139</v>
      </c>
      <c r="F24" s="366">
        <f>6*0.3333333*40%*15</f>
        <v>11.9999988</v>
      </c>
    </row>
    <row r="25" spans="1:6" ht="21" x14ac:dyDescent="0.4">
      <c r="A25" s="1324" t="s">
        <v>320</v>
      </c>
      <c r="B25" s="102"/>
      <c r="C25" s="1347">
        <f>C2+C5+C11+C14+C17+C19+C21</f>
        <v>261.99999179999998</v>
      </c>
      <c r="D25" s="338"/>
      <c r="E25" s="305"/>
      <c r="F25" s="1346">
        <f>F2+F5+F11+F14+F17+F19+F21</f>
        <v>255.24998347499999</v>
      </c>
    </row>
    <row r="26" spans="1:6" ht="18" x14ac:dyDescent="0.25">
      <c r="A26" s="266" t="s">
        <v>321</v>
      </c>
      <c r="B26" s="12"/>
      <c r="C26" s="274">
        <f>C25/(15*35)</f>
        <v>0.49904760342857141</v>
      </c>
      <c r="D26" s="12"/>
      <c r="E26" s="305"/>
      <c r="F26" s="271">
        <f>F25/(15*35)</f>
        <v>0.48619044471428569</v>
      </c>
    </row>
    <row r="27" spans="1:6" ht="18" x14ac:dyDescent="0.25">
      <c r="A27" s="266" t="s">
        <v>322</v>
      </c>
      <c r="B27" s="12"/>
      <c r="C27" s="261">
        <f>(C26+F26)/2</f>
        <v>0.49261902407142855</v>
      </c>
      <c r="D27" s="12"/>
      <c r="E27" s="305"/>
      <c r="F27" s="258"/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7"/>
  <sheetViews>
    <sheetView topLeftCell="A9" workbookViewId="0">
      <selection activeCell="J20" sqref="J20"/>
    </sheetView>
  </sheetViews>
  <sheetFormatPr defaultRowHeight="21" x14ac:dyDescent="0.4"/>
  <cols>
    <col min="1" max="1" width="16.09765625" style="121" customWidth="1"/>
    <col min="2" max="3" width="10.296875" style="72" bestFit="1" customWidth="1"/>
    <col min="4" max="5" width="8.796875" style="72"/>
    <col min="6" max="6" width="10.296875" style="72" bestFit="1" customWidth="1"/>
    <col min="7" max="16384" width="8.796875" style="72"/>
  </cols>
  <sheetData>
    <row r="1" spans="1:6" x14ac:dyDescent="0.4">
      <c r="C1" s="87" t="s">
        <v>512</v>
      </c>
      <c r="F1" s="87" t="s">
        <v>513</v>
      </c>
    </row>
    <row r="2" spans="1:6" x14ac:dyDescent="0.4">
      <c r="A2" s="499" t="s">
        <v>85</v>
      </c>
      <c r="B2" s="93"/>
      <c r="C2" s="87"/>
      <c r="D2" s="74"/>
      <c r="E2" s="74"/>
      <c r="F2" s="94">
        <f>SUM(F3)</f>
        <v>45</v>
      </c>
    </row>
    <row r="3" spans="1:6" x14ac:dyDescent="0.4">
      <c r="A3" s="126"/>
      <c r="B3" s="92"/>
      <c r="C3" s="95"/>
      <c r="D3" s="498" t="s">
        <v>86</v>
      </c>
      <c r="E3" s="87" t="s">
        <v>3</v>
      </c>
      <c r="F3" s="93">
        <v>45</v>
      </c>
    </row>
    <row r="4" spans="1:6" hidden="1" x14ac:dyDescent="0.4">
      <c r="A4" s="528" t="s">
        <v>88</v>
      </c>
      <c r="B4" s="74"/>
      <c r="C4" s="94"/>
      <c r="D4" s="74"/>
      <c r="E4" s="74"/>
      <c r="F4" s="115">
        <f>SUM(F5)</f>
        <v>30</v>
      </c>
    </row>
    <row r="5" spans="1:6" hidden="1" x14ac:dyDescent="0.4">
      <c r="A5" s="137"/>
      <c r="B5" s="96"/>
      <c r="C5" s="99"/>
      <c r="D5" s="835" t="s">
        <v>89</v>
      </c>
      <c r="E5" s="99" t="s">
        <v>3</v>
      </c>
      <c r="F5" s="836">
        <v>30</v>
      </c>
    </row>
    <row r="6" spans="1:6" x14ac:dyDescent="0.4">
      <c r="A6" s="496" t="s">
        <v>90</v>
      </c>
      <c r="B6" s="74"/>
      <c r="C6" s="105">
        <f>SUM(C7:C9)</f>
        <v>129</v>
      </c>
      <c r="D6" s="74"/>
      <c r="E6" s="74"/>
      <c r="F6" s="94">
        <f>SUM(F7:F9)</f>
        <v>101.25</v>
      </c>
    </row>
    <row r="7" spans="1:6" x14ac:dyDescent="0.4">
      <c r="A7" s="126" t="s">
        <v>91</v>
      </c>
      <c r="B7" s="68" t="s">
        <v>3</v>
      </c>
      <c r="C7" s="68">
        <v>21</v>
      </c>
      <c r="D7" s="126" t="s">
        <v>95</v>
      </c>
      <c r="E7" s="87" t="s">
        <v>3</v>
      </c>
      <c r="F7" s="87">
        <v>45</v>
      </c>
    </row>
    <row r="8" spans="1:6" x14ac:dyDescent="0.4">
      <c r="A8" s="137" t="s">
        <v>92</v>
      </c>
      <c r="B8" s="87" t="s">
        <v>1</v>
      </c>
      <c r="C8" s="87">
        <v>63</v>
      </c>
      <c r="D8" s="126" t="s">
        <v>93</v>
      </c>
      <c r="E8" s="87" t="s">
        <v>2</v>
      </c>
      <c r="F8" s="87">
        <v>45</v>
      </c>
    </row>
    <row r="9" spans="1:6" x14ac:dyDescent="0.4">
      <c r="A9" s="126" t="s">
        <v>94</v>
      </c>
      <c r="B9" s="87" t="s">
        <v>2</v>
      </c>
      <c r="C9" s="87">
        <v>45</v>
      </c>
      <c r="D9" s="126" t="s">
        <v>151</v>
      </c>
      <c r="E9" s="87" t="s">
        <v>2</v>
      </c>
      <c r="F9" s="87">
        <v>11.25</v>
      </c>
    </row>
    <row r="10" spans="1:6" x14ac:dyDescent="0.4">
      <c r="A10" s="496" t="s">
        <v>96</v>
      </c>
      <c r="B10" s="74"/>
      <c r="C10" s="94">
        <f>SUM(C11:C14)</f>
        <v>112.5</v>
      </c>
      <c r="D10" s="74"/>
      <c r="E10" s="74"/>
      <c r="F10" s="94">
        <f>SUM(F11:F14)</f>
        <v>150</v>
      </c>
    </row>
    <row r="11" spans="1:6" x14ac:dyDescent="0.4">
      <c r="A11" s="137" t="s">
        <v>97</v>
      </c>
      <c r="B11" s="68" t="s">
        <v>3</v>
      </c>
      <c r="C11" s="99">
        <v>45</v>
      </c>
      <c r="D11" s="126" t="s">
        <v>99</v>
      </c>
      <c r="E11" s="87" t="s">
        <v>3</v>
      </c>
      <c r="F11" s="87">
        <v>45</v>
      </c>
    </row>
    <row r="12" spans="1:6" x14ac:dyDescent="0.4">
      <c r="A12" s="126"/>
      <c r="B12" s="87" t="s">
        <v>1</v>
      </c>
      <c r="C12" s="93">
        <v>22.5</v>
      </c>
      <c r="D12" s="126" t="s">
        <v>100</v>
      </c>
      <c r="E12" s="87" t="s">
        <v>1</v>
      </c>
      <c r="F12" s="87">
        <f>30/2</f>
        <v>15</v>
      </c>
    </row>
    <row r="13" spans="1:6" x14ac:dyDescent="0.4">
      <c r="A13" s="126" t="s">
        <v>98</v>
      </c>
      <c r="B13" s="87" t="s">
        <v>2</v>
      </c>
      <c r="C13" s="93">
        <v>45</v>
      </c>
      <c r="D13" s="126" t="s">
        <v>95</v>
      </c>
      <c r="E13" s="87" t="s">
        <v>3</v>
      </c>
      <c r="F13" s="87">
        <v>45</v>
      </c>
    </row>
    <row r="14" spans="1:6" x14ac:dyDescent="0.4">
      <c r="A14" s="128"/>
      <c r="B14" s="85"/>
      <c r="C14" s="86"/>
      <c r="D14" s="126" t="s">
        <v>93</v>
      </c>
      <c r="E14" s="87" t="s">
        <v>2</v>
      </c>
      <c r="F14" s="87">
        <v>45</v>
      </c>
    </row>
    <row r="15" spans="1:6" x14ac:dyDescent="0.4">
      <c r="A15" s="496" t="s">
        <v>101</v>
      </c>
      <c r="B15" s="74"/>
      <c r="C15" s="94">
        <f>SUM(C16:C17)</f>
        <v>67.5</v>
      </c>
      <c r="D15" s="74"/>
      <c r="E15" s="74"/>
      <c r="F15" s="94">
        <f>SUM(F16:F19)</f>
        <v>127.5</v>
      </c>
    </row>
    <row r="16" spans="1:6" x14ac:dyDescent="0.4">
      <c r="A16" s="504" t="s">
        <v>103</v>
      </c>
      <c r="B16" s="87" t="s">
        <v>3</v>
      </c>
      <c r="C16" s="87">
        <v>45</v>
      </c>
      <c r="D16" s="503" t="s">
        <v>646</v>
      </c>
      <c r="E16" s="87" t="s">
        <v>3</v>
      </c>
      <c r="F16" s="87">
        <v>45</v>
      </c>
    </row>
    <row r="17" spans="1:10" x14ac:dyDescent="0.4">
      <c r="A17" s="504" t="s">
        <v>94</v>
      </c>
      <c r="B17" s="87" t="s">
        <v>2</v>
      </c>
      <c r="C17" s="87">
        <v>22.5</v>
      </c>
      <c r="D17" s="503" t="s">
        <v>647</v>
      </c>
      <c r="E17" s="87" t="s">
        <v>3</v>
      </c>
      <c r="F17" s="87">
        <v>45</v>
      </c>
    </row>
    <row r="18" spans="1:10" x14ac:dyDescent="0.4">
      <c r="A18" s="504"/>
      <c r="B18" s="87"/>
      <c r="C18" s="87"/>
      <c r="D18" s="126" t="s">
        <v>100</v>
      </c>
      <c r="E18" s="87" t="s">
        <v>1</v>
      </c>
      <c r="F18" s="87">
        <v>15</v>
      </c>
    </row>
    <row r="19" spans="1:10" x14ac:dyDescent="0.4">
      <c r="A19" s="504"/>
      <c r="B19" s="87"/>
      <c r="C19" s="87"/>
      <c r="D19" s="126" t="s">
        <v>93</v>
      </c>
      <c r="E19" s="87" t="s">
        <v>2</v>
      </c>
      <c r="F19" s="87">
        <v>22.5</v>
      </c>
    </row>
    <row r="20" spans="1:10" x14ac:dyDescent="0.4">
      <c r="A20" s="1478" t="s">
        <v>638</v>
      </c>
      <c r="B20" s="74"/>
      <c r="C20" s="94">
        <f>SUM(C21:C23)</f>
        <v>101.25</v>
      </c>
      <c r="D20" s="74"/>
      <c r="E20" s="74"/>
      <c r="F20" s="94">
        <f>SUM(F21:F24)</f>
        <v>116.25</v>
      </c>
      <c r="H20" s="72">
        <f>C20/(15*35)</f>
        <v>0.19285714285714287</v>
      </c>
      <c r="I20" s="72">
        <f>F20/(15*35)</f>
        <v>0.22142857142857142</v>
      </c>
      <c r="J20" s="1477">
        <f>(H20+I20)/2</f>
        <v>0.20714285714285713</v>
      </c>
    </row>
    <row r="21" spans="1:10" x14ac:dyDescent="0.4">
      <c r="A21" s="504" t="s">
        <v>102</v>
      </c>
      <c r="B21" s="87" t="s">
        <v>3</v>
      </c>
      <c r="C21" s="87">
        <v>45</v>
      </c>
      <c r="D21" s="126" t="s">
        <v>102</v>
      </c>
      <c r="E21" s="87" t="s">
        <v>3</v>
      </c>
      <c r="F21" s="87">
        <v>45</v>
      </c>
    </row>
    <row r="22" spans="1:10" x14ac:dyDescent="0.4">
      <c r="A22" s="504" t="s">
        <v>637</v>
      </c>
      <c r="B22" s="87" t="s">
        <v>3</v>
      </c>
      <c r="C22" s="87">
        <v>45</v>
      </c>
      <c r="D22" s="126" t="s">
        <v>100</v>
      </c>
      <c r="E22" s="87" t="s">
        <v>1</v>
      </c>
      <c r="F22" s="87">
        <f>30/2</f>
        <v>15</v>
      </c>
    </row>
    <row r="23" spans="1:10" x14ac:dyDescent="0.4">
      <c r="A23" s="504" t="s">
        <v>94</v>
      </c>
      <c r="B23" s="87" t="s">
        <v>2</v>
      </c>
      <c r="C23" s="87">
        <v>11.25</v>
      </c>
      <c r="D23" s="126" t="s">
        <v>95</v>
      </c>
      <c r="E23" s="87" t="s">
        <v>3</v>
      </c>
      <c r="F23" s="87">
        <v>45</v>
      </c>
    </row>
    <row r="24" spans="1:10" x14ac:dyDescent="0.4">
      <c r="A24" s="504"/>
      <c r="B24" s="87"/>
      <c r="C24" s="87"/>
      <c r="D24" s="126" t="s">
        <v>93</v>
      </c>
      <c r="E24" s="87" t="s">
        <v>2</v>
      </c>
      <c r="F24" s="87">
        <v>11.25</v>
      </c>
    </row>
    <row r="25" spans="1:10" x14ac:dyDescent="0.4">
      <c r="A25" s="496" t="s">
        <v>104</v>
      </c>
      <c r="B25" s="74"/>
      <c r="C25" s="94">
        <f>SUM(C26:C27)</f>
        <v>69</v>
      </c>
      <c r="D25" s="346"/>
      <c r="E25" s="74"/>
      <c r="F25" s="94">
        <f>SUM(F26:F27)</f>
        <v>90</v>
      </c>
    </row>
    <row r="26" spans="1:10" x14ac:dyDescent="0.4">
      <c r="A26" s="137" t="s">
        <v>91</v>
      </c>
      <c r="B26" s="68" t="s">
        <v>3</v>
      </c>
      <c r="C26" s="97">
        <v>24</v>
      </c>
      <c r="D26" s="126" t="s">
        <v>105</v>
      </c>
      <c r="E26" s="87" t="s">
        <v>3</v>
      </c>
      <c r="F26" s="87">
        <v>45</v>
      </c>
    </row>
    <row r="27" spans="1:10" x14ac:dyDescent="0.4">
      <c r="A27" s="126" t="s">
        <v>94</v>
      </c>
      <c r="B27" s="87" t="s">
        <v>2</v>
      </c>
      <c r="C27" s="93">
        <v>45</v>
      </c>
      <c r="D27" s="126" t="s">
        <v>93</v>
      </c>
      <c r="E27" s="87" t="s">
        <v>2</v>
      </c>
      <c r="F27" s="87">
        <v>45</v>
      </c>
    </row>
    <row r="28" spans="1:10" x14ac:dyDescent="0.4">
      <c r="A28" s="497" t="s">
        <v>106</v>
      </c>
      <c r="B28" s="74"/>
      <c r="C28" s="94">
        <f>SUM(C29:C30)</f>
        <v>69</v>
      </c>
      <c r="D28" s="346"/>
      <c r="E28" s="74"/>
      <c r="F28" s="94">
        <f>SUM(F29:F31)</f>
        <v>135</v>
      </c>
    </row>
    <row r="29" spans="1:10" x14ac:dyDescent="0.4">
      <c r="A29" s="126" t="s">
        <v>107</v>
      </c>
      <c r="B29" s="87" t="s">
        <v>3</v>
      </c>
      <c r="C29" s="87">
        <v>24</v>
      </c>
      <c r="D29" s="137" t="s">
        <v>653</v>
      </c>
      <c r="E29" s="87" t="s">
        <v>3</v>
      </c>
      <c r="F29" s="87">
        <v>45</v>
      </c>
    </row>
    <row r="30" spans="1:10" x14ac:dyDescent="0.4">
      <c r="A30" s="126" t="s">
        <v>94</v>
      </c>
      <c r="B30" s="87" t="s">
        <v>2</v>
      </c>
      <c r="C30" s="87">
        <v>45</v>
      </c>
      <c r="D30" s="137" t="s">
        <v>95</v>
      </c>
      <c r="E30" s="87" t="s">
        <v>3</v>
      </c>
      <c r="F30" s="87">
        <v>45</v>
      </c>
    </row>
    <row r="31" spans="1:10" x14ac:dyDescent="0.4">
      <c r="A31" s="106"/>
      <c r="B31" s="74"/>
      <c r="C31" s="87"/>
      <c r="D31" s="137" t="s">
        <v>93</v>
      </c>
      <c r="E31" s="87" t="s">
        <v>2</v>
      </c>
      <c r="F31" s="87">
        <v>45</v>
      </c>
    </row>
    <row r="32" spans="1:10" x14ac:dyDescent="0.4">
      <c r="A32" s="497" t="s">
        <v>108</v>
      </c>
      <c r="B32" s="74"/>
      <c r="C32" s="94">
        <f>SUM(C33:C36)</f>
        <v>141</v>
      </c>
      <c r="D32" s="74"/>
      <c r="E32" s="74"/>
      <c r="F32" s="94">
        <f>SUM(F33:F36)</f>
        <v>144</v>
      </c>
    </row>
    <row r="33" spans="1:6" x14ac:dyDescent="0.4">
      <c r="A33" s="503" t="s">
        <v>110</v>
      </c>
      <c r="B33" s="87" t="s">
        <v>3</v>
      </c>
      <c r="C33" s="87">
        <v>30</v>
      </c>
      <c r="D33" s="126" t="s">
        <v>95</v>
      </c>
      <c r="E33" s="87" t="s">
        <v>3</v>
      </c>
      <c r="F33" s="87">
        <v>45</v>
      </c>
    </row>
    <row r="34" spans="1:6" ht="21" customHeight="1" x14ac:dyDescent="0.4">
      <c r="A34" s="110"/>
      <c r="B34" s="85" t="s">
        <v>1</v>
      </c>
      <c r="C34" s="85">
        <v>21</v>
      </c>
      <c r="D34" s="126" t="s">
        <v>100</v>
      </c>
      <c r="E34" s="87" t="s">
        <v>1</v>
      </c>
      <c r="F34" s="87">
        <f>30/2</f>
        <v>15</v>
      </c>
    </row>
    <row r="35" spans="1:6" x14ac:dyDescent="0.4">
      <c r="A35" s="503" t="s">
        <v>109</v>
      </c>
      <c r="B35" s="87" t="s">
        <v>3</v>
      </c>
      <c r="C35" s="87">
        <v>45</v>
      </c>
      <c r="D35" s="126" t="s">
        <v>651</v>
      </c>
      <c r="E35" s="87" t="s">
        <v>1</v>
      </c>
      <c r="F35" s="87">
        <v>39</v>
      </c>
    </row>
    <row r="36" spans="1:6" x14ac:dyDescent="0.4">
      <c r="A36" s="503" t="s">
        <v>94</v>
      </c>
      <c r="B36" s="87" t="s">
        <v>2</v>
      </c>
      <c r="C36" s="87">
        <v>45</v>
      </c>
      <c r="D36" s="126" t="s">
        <v>93</v>
      </c>
      <c r="E36" s="87" t="s">
        <v>2</v>
      </c>
      <c r="F36" s="87">
        <v>45</v>
      </c>
    </row>
    <row r="37" spans="1:6" x14ac:dyDescent="0.4">
      <c r="A37" s="495" t="s">
        <v>111</v>
      </c>
      <c r="B37" s="74"/>
      <c r="C37" s="94">
        <f>SUM(C38:C39)</f>
        <v>67.5</v>
      </c>
      <c r="F37" s="146">
        <f>SUM(F38:F41)</f>
        <v>127.5</v>
      </c>
    </row>
    <row r="38" spans="1:6" x14ac:dyDescent="0.4">
      <c r="A38" s="503" t="s">
        <v>634</v>
      </c>
      <c r="B38" s="87" t="s">
        <v>3</v>
      </c>
      <c r="C38" s="87">
        <v>45</v>
      </c>
      <c r="D38" s="503" t="s">
        <v>634</v>
      </c>
      <c r="E38" s="87" t="s">
        <v>3</v>
      </c>
      <c r="F38" s="87">
        <v>45</v>
      </c>
    </row>
    <row r="39" spans="1:6" x14ac:dyDescent="0.4">
      <c r="A39" s="503" t="s">
        <v>94</v>
      </c>
      <c r="B39" s="87" t="s">
        <v>2</v>
      </c>
      <c r="C39" s="87">
        <v>22.5</v>
      </c>
      <c r="D39" s="503" t="s">
        <v>100</v>
      </c>
      <c r="E39" s="87" t="s">
        <v>1</v>
      </c>
      <c r="F39" s="87">
        <f>30/2</f>
        <v>15</v>
      </c>
    </row>
    <row r="40" spans="1:6" x14ac:dyDescent="0.4">
      <c r="A40" s="503"/>
      <c r="B40" s="87"/>
      <c r="C40" s="87"/>
      <c r="D40" s="503" t="s">
        <v>95</v>
      </c>
      <c r="E40" s="87" t="s">
        <v>3</v>
      </c>
      <c r="F40" s="87">
        <v>45</v>
      </c>
    </row>
    <row r="41" spans="1:6" x14ac:dyDescent="0.4">
      <c r="A41" s="503"/>
      <c r="B41" s="87"/>
      <c r="C41" s="87"/>
      <c r="D41" s="503" t="s">
        <v>93</v>
      </c>
      <c r="E41" s="87" t="s">
        <v>2</v>
      </c>
      <c r="F41" s="87">
        <v>22.5</v>
      </c>
    </row>
    <row r="42" spans="1:6" x14ac:dyDescent="0.4">
      <c r="A42" s="499" t="s">
        <v>112</v>
      </c>
      <c r="B42" s="74"/>
      <c r="C42" s="111">
        <f>SUM(C43:C44)</f>
        <v>78.75</v>
      </c>
      <c r="D42" s="826"/>
      <c r="E42" s="97"/>
      <c r="F42" s="94">
        <f>SUM(F43:F45)</f>
        <v>101.25</v>
      </c>
    </row>
    <row r="43" spans="1:6" x14ac:dyDescent="0.4">
      <c r="A43" s="137" t="s">
        <v>113</v>
      </c>
      <c r="B43" s="87" t="s">
        <v>3</v>
      </c>
      <c r="C43" s="92">
        <v>45</v>
      </c>
      <c r="D43" s="457" t="s">
        <v>113</v>
      </c>
      <c r="E43" s="116" t="s">
        <v>667</v>
      </c>
      <c r="F43" s="93">
        <v>45</v>
      </c>
    </row>
    <row r="44" spans="1:6" x14ac:dyDescent="0.4">
      <c r="A44" s="137" t="s">
        <v>94</v>
      </c>
      <c r="B44" s="87" t="s">
        <v>2</v>
      </c>
      <c r="C44" s="92">
        <v>33.75</v>
      </c>
      <c r="D44" s="457" t="s">
        <v>114</v>
      </c>
      <c r="E44" s="116" t="s">
        <v>670</v>
      </c>
      <c r="F44" s="93">
        <v>22.5</v>
      </c>
    </row>
    <row r="45" spans="1:6" x14ac:dyDescent="0.4">
      <c r="A45" s="126"/>
      <c r="B45" s="87"/>
      <c r="C45" s="87"/>
      <c r="D45" s="843" t="s">
        <v>93</v>
      </c>
      <c r="E45" s="116" t="s">
        <v>2</v>
      </c>
      <c r="F45" s="87">
        <v>33.75</v>
      </c>
    </row>
    <row r="46" spans="1:6" x14ac:dyDescent="0.4">
      <c r="A46" s="497" t="s">
        <v>117</v>
      </c>
      <c r="B46" s="74"/>
      <c r="C46" s="94">
        <f>SUM(C47:C49)</f>
        <v>135</v>
      </c>
      <c r="D46" s="518"/>
      <c r="E46" s="97"/>
      <c r="F46" s="94">
        <f>SUM(F47:F49)</f>
        <v>112.5</v>
      </c>
    </row>
    <row r="47" spans="1:6" x14ac:dyDescent="0.4">
      <c r="A47" s="137" t="s">
        <v>118</v>
      </c>
      <c r="B47" s="68" t="s">
        <v>3</v>
      </c>
      <c r="C47" s="97">
        <v>45</v>
      </c>
      <c r="D47" s="825" t="s">
        <v>650</v>
      </c>
      <c r="E47" s="824" t="s">
        <v>667</v>
      </c>
      <c r="F47" s="93">
        <v>45</v>
      </c>
    </row>
    <row r="48" spans="1:6" x14ac:dyDescent="0.4">
      <c r="A48" s="126" t="s">
        <v>114</v>
      </c>
      <c r="B48" s="87" t="s">
        <v>1</v>
      </c>
      <c r="C48" s="97">
        <v>45</v>
      </c>
      <c r="D48" s="825" t="s">
        <v>114</v>
      </c>
      <c r="E48" s="824" t="s">
        <v>670</v>
      </c>
      <c r="F48" s="93">
        <v>22.5</v>
      </c>
    </row>
    <row r="49" spans="1:6" x14ac:dyDescent="0.4">
      <c r="A49" s="106" t="s">
        <v>94</v>
      </c>
      <c r="B49" s="87" t="s">
        <v>2</v>
      </c>
      <c r="C49" s="97">
        <v>45</v>
      </c>
      <c r="D49" s="825" t="s">
        <v>93</v>
      </c>
      <c r="E49" s="824" t="s">
        <v>668</v>
      </c>
      <c r="F49" s="93">
        <v>45</v>
      </c>
    </row>
    <row r="50" spans="1:6" x14ac:dyDescent="0.4">
      <c r="A50" s="497" t="s">
        <v>119</v>
      </c>
      <c r="B50" s="74"/>
      <c r="C50" s="94">
        <f>SUM(C51:C55)</f>
        <v>157.5</v>
      </c>
      <c r="D50" s="518"/>
      <c r="E50" s="74"/>
      <c r="F50" s="94">
        <f>SUM(F51:F55)</f>
        <v>154.5</v>
      </c>
    </row>
    <row r="51" spans="1:6" x14ac:dyDescent="0.4">
      <c r="A51" s="126" t="s">
        <v>107</v>
      </c>
      <c r="B51" s="87" t="s">
        <v>3</v>
      </c>
      <c r="C51" s="87">
        <v>21</v>
      </c>
      <c r="D51" s="503" t="s">
        <v>91</v>
      </c>
      <c r="E51" s="87" t="s">
        <v>3</v>
      </c>
      <c r="F51" s="87">
        <v>45</v>
      </c>
    </row>
    <row r="52" spans="1:6" x14ac:dyDescent="0.4">
      <c r="A52" s="137" t="s">
        <v>120</v>
      </c>
      <c r="B52" s="68" t="s">
        <v>3</v>
      </c>
      <c r="C52" s="68">
        <v>30</v>
      </c>
      <c r="D52" s="503" t="s">
        <v>92</v>
      </c>
      <c r="E52" s="87" t="s">
        <v>1</v>
      </c>
      <c r="F52" s="87">
        <f>39/2</f>
        <v>19.5</v>
      </c>
    </row>
    <row r="53" spans="1:6" x14ac:dyDescent="0.4">
      <c r="A53" s="85"/>
      <c r="B53" s="85" t="s">
        <v>1</v>
      </c>
      <c r="C53" s="85">
        <v>16.5</v>
      </c>
      <c r="D53" s="503" t="s">
        <v>95</v>
      </c>
      <c r="E53" s="87" t="s">
        <v>3</v>
      </c>
      <c r="F53" s="87">
        <v>45</v>
      </c>
    </row>
    <row r="54" spans="1:6" x14ac:dyDescent="0.4">
      <c r="A54" s="126" t="s">
        <v>95</v>
      </c>
      <c r="B54" s="87" t="s">
        <v>3</v>
      </c>
      <c r="C54" s="87">
        <v>45</v>
      </c>
      <c r="D54" s="126" t="s">
        <v>93</v>
      </c>
      <c r="E54" s="87" t="s">
        <v>2</v>
      </c>
      <c r="F54" s="87">
        <v>45</v>
      </c>
    </row>
    <row r="55" spans="1:6" x14ac:dyDescent="0.4">
      <c r="A55" s="126" t="s">
        <v>94</v>
      </c>
      <c r="B55" s="87" t="s">
        <v>2</v>
      </c>
      <c r="C55" s="87">
        <v>45</v>
      </c>
      <c r="D55" s="87"/>
      <c r="E55" s="87"/>
      <c r="F55" s="87"/>
    </row>
    <row r="56" spans="1:6" x14ac:dyDescent="0.25">
      <c r="A56" s="502" t="s">
        <v>639</v>
      </c>
      <c r="B56" s="93"/>
      <c r="C56" s="286">
        <f>SUM(C57:C59)</f>
        <v>84.38</v>
      </c>
      <c r="D56" s="290"/>
      <c r="E56" s="290"/>
      <c r="F56" s="286">
        <f>SUM(F57:F62)</f>
        <v>159.38</v>
      </c>
    </row>
    <row r="57" spans="1:6" x14ac:dyDescent="0.4">
      <c r="A57" s="113" t="s">
        <v>95</v>
      </c>
      <c r="B57" s="68" t="s">
        <v>3</v>
      </c>
      <c r="C57" s="98">
        <v>45</v>
      </c>
      <c r="D57" s="126" t="s">
        <v>123</v>
      </c>
      <c r="E57" s="87" t="s">
        <v>3</v>
      </c>
      <c r="F57" s="87">
        <v>24</v>
      </c>
    </row>
    <row r="58" spans="1:6" x14ac:dyDescent="0.4">
      <c r="A58" s="143" t="s">
        <v>94</v>
      </c>
      <c r="B58" s="87" t="s">
        <v>2</v>
      </c>
      <c r="C58" s="93">
        <v>39.380000000000003</v>
      </c>
      <c r="D58" s="377"/>
      <c r="E58" s="85" t="s">
        <v>1</v>
      </c>
      <c r="F58" s="85">
        <v>12</v>
      </c>
    </row>
    <row r="59" spans="1:6" x14ac:dyDescent="0.4">
      <c r="A59" s="143"/>
      <c r="B59" s="75"/>
      <c r="C59" s="95"/>
      <c r="D59" s="126" t="s">
        <v>100</v>
      </c>
      <c r="E59" s="87" t="s">
        <v>1</v>
      </c>
      <c r="F59" s="87">
        <f>30/2</f>
        <v>15</v>
      </c>
    </row>
    <row r="60" spans="1:6" x14ac:dyDescent="0.4">
      <c r="A60" s="144"/>
      <c r="B60" s="75"/>
      <c r="C60" s="95"/>
      <c r="D60" s="137" t="s">
        <v>651</v>
      </c>
      <c r="E60" s="68" t="s">
        <v>3</v>
      </c>
      <c r="F60" s="68">
        <v>30</v>
      </c>
    </row>
    <row r="61" spans="1:6" x14ac:dyDescent="0.4">
      <c r="A61" s="144"/>
      <c r="B61" s="75"/>
      <c r="C61" s="95"/>
      <c r="D61" s="377"/>
      <c r="E61" s="85" t="s">
        <v>1</v>
      </c>
      <c r="F61" s="85">
        <v>39</v>
      </c>
    </row>
    <row r="62" spans="1:6" x14ac:dyDescent="0.4">
      <c r="A62" s="144"/>
      <c r="B62" s="85"/>
      <c r="C62" s="95"/>
      <c r="D62" s="126" t="s">
        <v>93</v>
      </c>
      <c r="E62" s="87" t="s">
        <v>2</v>
      </c>
      <c r="F62" s="87">
        <v>39.380000000000003</v>
      </c>
    </row>
    <row r="63" spans="1:6" x14ac:dyDescent="0.4">
      <c r="A63" s="499" t="s">
        <v>87</v>
      </c>
      <c r="B63" s="93"/>
      <c r="C63" s="94"/>
      <c r="D63" s="74"/>
      <c r="E63" s="93"/>
      <c r="F63" s="115">
        <f>SUM(F64)</f>
        <v>11.25</v>
      </c>
    </row>
    <row r="64" spans="1:6" x14ac:dyDescent="0.4">
      <c r="A64" s="126"/>
      <c r="B64" s="101"/>
      <c r="C64" s="101"/>
      <c r="D64" s="519" t="s">
        <v>93</v>
      </c>
      <c r="E64" s="87" t="s">
        <v>2</v>
      </c>
      <c r="F64" s="98">
        <v>11.25</v>
      </c>
    </row>
    <row r="65" spans="1:6" ht="18" x14ac:dyDescent="0.25">
      <c r="A65" s="276" t="s">
        <v>320</v>
      </c>
      <c r="B65" s="87"/>
      <c r="C65" s="277">
        <f>C2+C6+C10+C15+C20+C25+C28+C32+C37+C42+C46+C50+C56+C63</f>
        <v>1212.3800000000001</v>
      </c>
      <c r="D65" s="74"/>
      <c r="E65" s="74"/>
      <c r="F65" s="277">
        <f>F2+F6+F10+F15+F20+F25+F28+F32+F37+F42+F46+F50+F56+F63</f>
        <v>1575.38</v>
      </c>
    </row>
    <row r="66" spans="1:6" ht="18" x14ac:dyDescent="0.25">
      <c r="A66" s="266" t="s">
        <v>321</v>
      </c>
      <c r="B66" s="93"/>
      <c r="C66" s="522">
        <f>C65/(15*35)</f>
        <v>2.3092952380952383</v>
      </c>
      <c r="D66" s="74"/>
      <c r="E66" s="74"/>
      <c r="F66" s="523">
        <f>F65/(15*35)</f>
        <v>3.0007238095238096</v>
      </c>
    </row>
    <row r="67" spans="1:6" ht="18" x14ac:dyDescent="0.25">
      <c r="A67" s="266" t="s">
        <v>322</v>
      </c>
      <c r="B67" s="93"/>
      <c r="C67" s="522">
        <f>(C66+F66)/2</f>
        <v>2.6550095238095239</v>
      </c>
      <c r="D67" s="86"/>
      <c r="E67" s="86"/>
      <c r="F67" s="10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9"/>
  <sheetViews>
    <sheetView topLeftCell="A4" workbookViewId="0">
      <selection activeCell="F15" sqref="F15"/>
    </sheetView>
  </sheetViews>
  <sheetFormatPr defaultRowHeight="21" x14ac:dyDescent="0.4"/>
  <cols>
    <col min="1" max="1" width="16.09765625" style="121" customWidth="1"/>
    <col min="2" max="2" width="10.296875" style="70" bestFit="1" customWidth="1"/>
    <col min="3" max="3" width="9.8984375" style="72" customWidth="1"/>
    <col min="4" max="4" width="10.8984375" style="513" customWidth="1"/>
    <col min="5" max="5" width="8.796875" style="70"/>
    <col min="6" max="6" width="10.296875" style="72" bestFit="1" customWidth="1"/>
    <col min="7" max="16384" width="8.796875" style="72"/>
  </cols>
  <sheetData>
    <row r="1" spans="1:6" x14ac:dyDescent="0.4">
      <c r="C1" s="87" t="s">
        <v>512</v>
      </c>
      <c r="F1" s="87" t="s">
        <v>513</v>
      </c>
    </row>
    <row r="2" spans="1:6" s="328" customFormat="1" x14ac:dyDescent="0.4">
      <c r="A2" s="496" t="s">
        <v>121</v>
      </c>
      <c r="B2" s="831"/>
      <c r="C2" s="512">
        <f>SUM(C3:C4)</f>
        <v>97.5</v>
      </c>
      <c r="D2" s="515"/>
      <c r="E2" s="837"/>
      <c r="F2" s="327"/>
    </row>
    <row r="3" spans="1:6" s="328" customFormat="1" x14ac:dyDescent="0.4">
      <c r="A3" s="113" t="s">
        <v>122</v>
      </c>
      <c r="B3" s="832" t="s">
        <v>3</v>
      </c>
      <c r="C3" s="510">
        <v>30</v>
      </c>
      <c r="D3" s="516"/>
      <c r="E3" s="838"/>
      <c r="F3" s="329"/>
    </row>
    <row r="4" spans="1:6" s="328" customFormat="1" x14ac:dyDescent="0.4">
      <c r="A4" s="127"/>
      <c r="B4" s="833" t="s">
        <v>1</v>
      </c>
      <c r="C4" s="510">
        <f>135/2</f>
        <v>67.5</v>
      </c>
      <c r="D4" s="517"/>
      <c r="E4" s="839"/>
      <c r="F4" s="330"/>
    </row>
    <row r="5" spans="1:6" x14ac:dyDescent="0.4">
      <c r="A5" s="497" t="s">
        <v>124</v>
      </c>
      <c r="B5" s="738"/>
      <c r="C5" s="94">
        <f>SUM(C6:C7)</f>
        <v>118.13</v>
      </c>
      <c r="D5" s="346"/>
      <c r="E5" s="69"/>
      <c r="F5" s="842">
        <f>SUM(F6:F11)</f>
        <v>198.375</v>
      </c>
    </row>
    <row r="6" spans="1:6" x14ac:dyDescent="0.4">
      <c r="A6" s="504" t="s">
        <v>125</v>
      </c>
      <c r="B6" s="69" t="s">
        <v>3</v>
      </c>
      <c r="C6" s="125">
        <v>45</v>
      </c>
      <c r="D6" s="126" t="s">
        <v>126</v>
      </c>
      <c r="E6" s="69" t="s">
        <v>3</v>
      </c>
      <c r="F6" s="87">
        <v>45</v>
      </c>
    </row>
    <row r="7" spans="1:6" x14ac:dyDescent="0.4">
      <c r="A7" s="524" t="s">
        <v>94</v>
      </c>
      <c r="B7" s="71" t="s">
        <v>2</v>
      </c>
      <c r="C7" s="68">
        <v>73.13</v>
      </c>
      <c r="D7" s="137" t="s">
        <v>123</v>
      </c>
      <c r="E7" s="71" t="s">
        <v>3</v>
      </c>
      <c r="F7" s="68">
        <v>21</v>
      </c>
    </row>
    <row r="8" spans="1:6" ht="13.8" x14ac:dyDescent="0.25">
      <c r="A8" s="85"/>
      <c r="B8" s="807"/>
      <c r="C8" s="85"/>
      <c r="D8" s="377"/>
      <c r="E8" s="807" t="s">
        <v>1</v>
      </c>
      <c r="F8" s="85">
        <v>10.5</v>
      </c>
    </row>
    <row r="9" spans="1:6" x14ac:dyDescent="0.4">
      <c r="A9" s="504"/>
      <c r="B9" s="69"/>
      <c r="C9" s="87"/>
      <c r="D9" s="126" t="s">
        <v>100</v>
      </c>
      <c r="E9" s="69" t="s">
        <v>1</v>
      </c>
      <c r="F9" s="87">
        <v>15</v>
      </c>
    </row>
    <row r="10" spans="1:6" x14ac:dyDescent="0.4">
      <c r="A10" s="503"/>
      <c r="B10" s="69"/>
      <c r="C10" s="87"/>
      <c r="D10" s="126" t="s">
        <v>95</v>
      </c>
      <c r="E10" s="69" t="s">
        <v>3</v>
      </c>
      <c r="F10" s="87">
        <v>45</v>
      </c>
    </row>
    <row r="11" spans="1:6" x14ac:dyDescent="0.4">
      <c r="A11" s="503"/>
      <c r="B11" s="69"/>
      <c r="C11" s="87"/>
      <c r="D11" s="126" t="s">
        <v>93</v>
      </c>
      <c r="E11" s="69" t="s">
        <v>2</v>
      </c>
      <c r="F11" s="125">
        <v>61.875</v>
      </c>
    </row>
    <row r="12" spans="1:6" x14ac:dyDescent="0.4">
      <c r="A12" s="496" t="s">
        <v>128</v>
      </c>
      <c r="B12" s="738"/>
      <c r="C12" s="94">
        <f>SUM(C13:C14)</f>
        <v>90</v>
      </c>
      <c r="D12" s="399"/>
      <c r="E12" s="738"/>
      <c r="F12" s="94">
        <f>SUM(F13:F14)</f>
        <v>90</v>
      </c>
    </row>
    <row r="13" spans="1:6" x14ac:dyDescent="0.4">
      <c r="A13" s="138" t="s">
        <v>641</v>
      </c>
      <c r="B13" s="807" t="s">
        <v>3</v>
      </c>
      <c r="C13" s="87">
        <v>45</v>
      </c>
      <c r="D13" s="132" t="s">
        <v>95</v>
      </c>
      <c r="E13" s="69" t="s">
        <v>3</v>
      </c>
      <c r="F13" s="93">
        <v>45</v>
      </c>
    </row>
    <row r="14" spans="1:6" x14ac:dyDescent="0.4">
      <c r="A14" s="132" t="s">
        <v>94</v>
      </c>
      <c r="B14" s="69" t="s">
        <v>2</v>
      </c>
      <c r="C14" s="87">
        <v>45</v>
      </c>
      <c r="D14" s="138" t="s">
        <v>93</v>
      </c>
      <c r="E14" s="807" t="s">
        <v>2</v>
      </c>
      <c r="F14" s="93">
        <v>45</v>
      </c>
    </row>
    <row r="15" spans="1:6" x14ac:dyDescent="0.4">
      <c r="A15" s="529" t="s">
        <v>129</v>
      </c>
      <c r="B15" s="602"/>
      <c r="C15" s="146">
        <f>SUM(C16:C18)</f>
        <v>123.75</v>
      </c>
      <c r="D15" s="399"/>
      <c r="E15" s="821"/>
      <c r="F15" s="114">
        <f>SUM(F16:F18)</f>
        <v>123.75</v>
      </c>
    </row>
    <row r="16" spans="1:6" x14ac:dyDescent="0.4">
      <c r="A16" s="137" t="s">
        <v>130</v>
      </c>
      <c r="B16" s="69" t="s">
        <v>3</v>
      </c>
      <c r="C16" s="87">
        <v>45</v>
      </c>
      <c r="D16" s="126" t="s">
        <v>130</v>
      </c>
      <c r="E16" s="69" t="s">
        <v>3</v>
      </c>
      <c r="F16" s="87">
        <v>45</v>
      </c>
    </row>
    <row r="17" spans="1:6" x14ac:dyDescent="0.4">
      <c r="A17" s="137" t="s">
        <v>131</v>
      </c>
      <c r="B17" s="69" t="s">
        <v>3</v>
      </c>
      <c r="C17" s="87">
        <v>45</v>
      </c>
      <c r="D17" s="126" t="s">
        <v>132</v>
      </c>
      <c r="E17" s="69" t="s">
        <v>3</v>
      </c>
      <c r="F17" s="87">
        <v>45</v>
      </c>
    </row>
    <row r="18" spans="1:6" x14ac:dyDescent="0.4">
      <c r="A18" s="126" t="s">
        <v>94</v>
      </c>
      <c r="B18" s="69" t="s">
        <v>2</v>
      </c>
      <c r="C18" s="87">
        <v>33.75</v>
      </c>
      <c r="D18" s="126" t="s">
        <v>93</v>
      </c>
      <c r="E18" s="69" t="s">
        <v>2</v>
      </c>
      <c r="F18" s="87">
        <v>33.75</v>
      </c>
    </row>
    <row r="19" spans="1:6" x14ac:dyDescent="0.4">
      <c r="A19" s="530" t="s">
        <v>133</v>
      </c>
      <c r="B19" s="738"/>
      <c r="C19" s="94">
        <f>SUM(C20:C22)</f>
        <v>120</v>
      </c>
      <c r="D19" s="338"/>
      <c r="E19" s="738"/>
      <c r="F19" s="94">
        <f>SUM(F20:F25)</f>
        <v>217.5</v>
      </c>
    </row>
    <row r="20" spans="1:6" x14ac:dyDescent="0.4">
      <c r="A20" s="126" t="s">
        <v>134</v>
      </c>
      <c r="B20" s="69" t="s">
        <v>3</v>
      </c>
      <c r="C20" s="87">
        <v>30</v>
      </c>
      <c r="D20" s="126" t="s">
        <v>135</v>
      </c>
      <c r="E20" s="69" t="s">
        <v>3</v>
      </c>
      <c r="F20" s="87">
        <v>45</v>
      </c>
    </row>
    <row r="21" spans="1:6" x14ac:dyDescent="0.4">
      <c r="A21" s="126" t="s">
        <v>136</v>
      </c>
      <c r="B21" s="69" t="s">
        <v>1</v>
      </c>
      <c r="C21" s="87">
        <v>45</v>
      </c>
      <c r="D21" s="126" t="s">
        <v>137</v>
      </c>
      <c r="E21" s="69" t="s">
        <v>1</v>
      </c>
      <c r="F21" s="87">
        <v>22.5</v>
      </c>
    </row>
    <row r="22" spans="1:6" x14ac:dyDescent="0.4">
      <c r="A22" s="126" t="s">
        <v>94</v>
      </c>
      <c r="B22" s="69" t="s">
        <v>2</v>
      </c>
      <c r="C22" s="87">
        <v>45</v>
      </c>
      <c r="D22" s="126" t="s">
        <v>100</v>
      </c>
      <c r="E22" s="69" t="s">
        <v>1</v>
      </c>
      <c r="F22" s="87">
        <f>30/2</f>
        <v>15</v>
      </c>
    </row>
    <row r="23" spans="1:6" x14ac:dyDescent="0.4">
      <c r="A23" s="504"/>
      <c r="B23" s="69"/>
      <c r="C23" s="87"/>
      <c r="D23" s="126" t="s">
        <v>648</v>
      </c>
      <c r="E23" s="69" t="s">
        <v>3</v>
      </c>
      <c r="F23" s="87">
        <v>45</v>
      </c>
    </row>
    <row r="24" spans="1:6" x14ac:dyDescent="0.4">
      <c r="A24" s="87"/>
      <c r="B24" s="69"/>
      <c r="C24" s="87"/>
      <c r="D24" s="126" t="s">
        <v>649</v>
      </c>
      <c r="E24" s="69" t="s">
        <v>1</v>
      </c>
      <c r="F24" s="87">
        <v>45</v>
      </c>
    </row>
    <row r="25" spans="1:6" x14ac:dyDescent="0.4">
      <c r="A25" s="87"/>
      <c r="B25" s="69"/>
      <c r="C25" s="87"/>
      <c r="D25" s="126" t="s">
        <v>93</v>
      </c>
      <c r="E25" s="69" t="s">
        <v>2</v>
      </c>
      <c r="F25" s="87">
        <v>45</v>
      </c>
    </row>
    <row r="26" spans="1:6" ht="18" x14ac:dyDescent="0.25">
      <c r="A26" s="276" t="s">
        <v>320</v>
      </c>
      <c r="B26" s="69"/>
      <c r="C26" s="511">
        <f>C2+C5+C12+C15+C19</f>
        <v>549.38</v>
      </c>
      <c r="D26" s="525"/>
      <c r="E26" s="834"/>
      <c r="F26" s="511">
        <f>F2+F5+F12+F15+F19</f>
        <v>629.625</v>
      </c>
    </row>
    <row r="27" spans="1:6" ht="18" x14ac:dyDescent="0.25">
      <c r="A27" s="266" t="s">
        <v>321</v>
      </c>
      <c r="B27" s="393"/>
      <c r="C27" s="522">
        <f>C26/(15*35)</f>
        <v>1.0464380952380952</v>
      </c>
      <c r="D27" s="346"/>
      <c r="E27" s="738"/>
      <c r="F27" s="523">
        <f>F26/(15*35)</f>
        <v>1.1992857142857143</v>
      </c>
    </row>
    <row r="28" spans="1:6" ht="18" x14ac:dyDescent="0.25">
      <c r="A28" s="266" t="s">
        <v>322</v>
      </c>
      <c r="B28" s="393"/>
      <c r="C28" s="522">
        <f>(C27+F27)/2</f>
        <v>1.1228619047619048</v>
      </c>
      <c r="D28" s="345"/>
      <c r="E28" s="602"/>
      <c r="F28" s="101"/>
    </row>
    <row r="29" spans="1:6" ht="13.8" x14ac:dyDescent="0.25">
      <c r="A29" s="72"/>
    </row>
    <row r="30" spans="1:6" ht="13.8" x14ac:dyDescent="0.25">
      <c r="A30" s="72"/>
    </row>
    <row r="31" spans="1:6" ht="13.8" x14ac:dyDescent="0.25">
      <c r="A31" s="72"/>
    </row>
    <row r="32" spans="1:6" ht="13.8" x14ac:dyDescent="0.25">
      <c r="A32" s="72"/>
    </row>
    <row r="33" spans="1:1" ht="13.8" x14ac:dyDescent="0.25">
      <c r="A33" s="72"/>
    </row>
    <row r="34" spans="1:1" ht="13.8" x14ac:dyDescent="0.25">
      <c r="A34" s="72"/>
    </row>
    <row r="35" spans="1:1" ht="13.8" x14ac:dyDescent="0.25">
      <c r="A35" s="72"/>
    </row>
    <row r="36" spans="1:1" ht="13.8" x14ac:dyDescent="0.25">
      <c r="A36" s="72"/>
    </row>
    <row r="37" spans="1:1" ht="13.8" x14ac:dyDescent="0.25">
      <c r="A37" s="72"/>
    </row>
    <row r="38" spans="1:1" ht="13.8" x14ac:dyDescent="0.25">
      <c r="A38" s="72"/>
    </row>
    <row r="39" spans="1:1" ht="13.8" x14ac:dyDescent="0.25">
      <c r="A39" s="72"/>
    </row>
    <row r="40" spans="1:1" ht="13.8" x14ac:dyDescent="0.25">
      <c r="A40" s="72"/>
    </row>
    <row r="41" spans="1:1" ht="13.8" x14ac:dyDescent="0.25">
      <c r="A41" s="72"/>
    </row>
    <row r="42" spans="1:1" ht="13.8" x14ac:dyDescent="0.25">
      <c r="A42" s="72"/>
    </row>
    <row r="43" spans="1:1" ht="13.8" x14ac:dyDescent="0.25">
      <c r="A43" s="72"/>
    </row>
    <row r="44" spans="1:1" ht="13.8" x14ac:dyDescent="0.25">
      <c r="A44" s="72"/>
    </row>
    <row r="45" spans="1:1" ht="13.8" x14ac:dyDescent="0.25">
      <c r="A45" s="72"/>
    </row>
    <row r="46" spans="1:1" ht="13.8" x14ac:dyDescent="0.25">
      <c r="A46" s="72"/>
    </row>
    <row r="47" spans="1:1" ht="13.8" x14ac:dyDescent="0.25">
      <c r="A47" s="72"/>
    </row>
    <row r="54" spans="1:1" ht="13.8" x14ac:dyDescent="0.25">
      <c r="A54" s="72"/>
    </row>
    <row r="55" spans="1:1" ht="13.8" x14ac:dyDescent="0.25">
      <c r="A55" s="72"/>
    </row>
    <row r="56" spans="1:1" ht="13.8" x14ac:dyDescent="0.25">
      <c r="A56" s="72"/>
    </row>
    <row r="57" spans="1:1" ht="13.8" x14ac:dyDescent="0.25">
      <c r="A57" s="72"/>
    </row>
    <row r="58" spans="1:1" ht="13.8" x14ac:dyDescent="0.25">
      <c r="A58" s="72"/>
    </row>
    <row r="59" spans="1:1" ht="13.8" x14ac:dyDescent="0.25">
      <c r="A59" s="7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workbookViewId="0">
      <selection activeCell="C2" sqref="C2"/>
    </sheetView>
  </sheetViews>
  <sheetFormatPr defaultRowHeight="21" x14ac:dyDescent="0.4"/>
  <cols>
    <col min="1" max="1" width="27.5" style="121" bestFit="1" customWidth="1"/>
    <col min="2" max="2" width="8.796875" style="70"/>
    <col min="3" max="3" width="10.296875" style="72" bestFit="1" customWidth="1"/>
    <col min="4" max="4" width="8.796875" style="72"/>
    <col min="5" max="5" width="8.796875" style="70"/>
    <col min="6" max="6" width="10.296875" style="72" bestFit="1" customWidth="1"/>
    <col min="7" max="16384" width="8.796875" style="72"/>
  </cols>
  <sheetData>
    <row r="1" spans="1:6" x14ac:dyDescent="0.4">
      <c r="C1" s="70" t="s">
        <v>512</v>
      </c>
      <c r="F1" s="70" t="s">
        <v>513</v>
      </c>
    </row>
    <row r="2" spans="1:6" x14ac:dyDescent="0.4">
      <c r="A2" s="496" t="s">
        <v>96</v>
      </c>
      <c r="B2" s="738"/>
      <c r="C2" s="94">
        <f>SUM(C3:C4)</f>
        <v>60</v>
      </c>
      <c r="D2" s="74"/>
      <c r="E2" s="738"/>
      <c r="F2" s="829">
        <f>SUM(F3:F4)</f>
        <v>6</v>
      </c>
    </row>
    <row r="3" spans="1:6" x14ac:dyDescent="0.4">
      <c r="A3" s="137" t="s">
        <v>141</v>
      </c>
      <c r="B3" s="71" t="s">
        <v>3</v>
      </c>
      <c r="C3" s="68">
        <v>45</v>
      </c>
      <c r="D3" s="129" t="s">
        <v>138</v>
      </c>
      <c r="E3" s="69" t="s">
        <v>3</v>
      </c>
      <c r="F3" s="87">
        <v>6</v>
      </c>
    </row>
    <row r="4" spans="1:6" x14ac:dyDescent="0.4">
      <c r="A4" s="126" t="s">
        <v>140</v>
      </c>
      <c r="B4" s="69" t="s">
        <v>236</v>
      </c>
      <c r="C4" s="87">
        <v>15</v>
      </c>
      <c r="D4" s="87"/>
      <c r="E4" s="69"/>
      <c r="F4" s="87"/>
    </row>
    <row r="5" spans="1:6" x14ac:dyDescent="0.4">
      <c r="A5" s="496" t="s">
        <v>101</v>
      </c>
      <c r="B5" s="738"/>
      <c r="C5" s="87"/>
      <c r="D5" s="74"/>
      <c r="E5" s="738"/>
      <c r="F5" s="94">
        <f>SUM(F6)</f>
        <v>21</v>
      </c>
    </row>
    <row r="6" spans="1:6" s="117" customFormat="1" x14ac:dyDescent="0.4">
      <c r="A6" s="503"/>
      <c r="B6" s="69"/>
      <c r="C6" s="87"/>
      <c r="D6" s="520" t="s">
        <v>138</v>
      </c>
      <c r="E6" s="69" t="s">
        <v>3</v>
      </c>
      <c r="F6" s="501">
        <v>21</v>
      </c>
    </row>
    <row r="7" spans="1:6" x14ac:dyDescent="0.4">
      <c r="A7" s="500" t="s">
        <v>106</v>
      </c>
      <c r="B7" s="536"/>
      <c r="C7" s="118">
        <f>SUM(C8:C9)</f>
        <v>45</v>
      </c>
      <c r="F7" s="146">
        <f>SUM(F8:F9)</f>
        <v>69</v>
      </c>
    </row>
    <row r="8" spans="1:6" x14ac:dyDescent="0.25">
      <c r="A8" s="145" t="s">
        <v>142</v>
      </c>
      <c r="B8" s="69" t="s">
        <v>3</v>
      </c>
      <c r="C8" s="501">
        <v>45</v>
      </c>
      <c r="D8" s="520" t="s">
        <v>654</v>
      </c>
      <c r="E8" s="69" t="s">
        <v>3</v>
      </c>
      <c r="F8" s="87">
        <v>45</v>
      </c>
    </row>
    <row r="9" spans="1:6" x14ac:dyDescent="0.4">
      <c r="A9" s="124"/>
      <c r="B9" s="375"/>
      <c r="C9" s="119"/>
      <c r="D9" s="520" t="s">
        <v>655</v>
      </c>
      <c r="E9" s="69" t="s">
        <v>3</v>
      </c>
      <c r="F9" s="87">
        <v>24</v>
      </c>
    </row>
    <row r="10" spans="1:6" x14ac:dyDescent="0.4">
      <c r="A10" s="497" t="s">
        <v>117</v>
      </c>
      <c r="B10" s="738"/>
      <c r="C10" s="87"/>
      <c r="D10" s="74"/>
      <c r="E10" s="738"/>
      <c r="F10" s="94">
        <f>SUM(F11)</f>
        <v>6</v>
      </c>
    </row>
    <row r="11" spans="1:6" x14ac:dyDescent="0.4">
      <c r="A11" s="139"/>
      <c r="B11" s="602"/>
      <c r="C11" s="100"/>
      <c r="D11" s="129" t="s">
        <v>138</v>
      </c>
      <c r="E11" s="602" t="s">
        <v>3</v>
      </c>
      <c r="F11" s="101">
        <v>6</v>
      </c>
    </row>
    <row r="12" spans="1:6" x14ac:dyDescent="0.4">
      <c r="A12" s="497" t="s">
        <v>119</v>
      </c>
      <c r="B12" s="738"/>
      <c r="C12" s="94">
        <f>SUM(C13)</f>
        <v>45</v>
      </c>
      <c r="D12" s="74"/>
      <c r="E12" s="738"/>
      <c r="F12" s="94"/>
    </row>
    <row r="13" spans="1:6" x14ac:dyDescent="0.4">
      <c r="A13" s="113" t="s">
        <v>143</v>
      </c>
      <c r="B13" s="375" t="s">
        <v>3</v>
      </c>
      <c r="C13" s="68">
        <v>45</v>
      </c>
      <c r="D13" s="827"/>
      <c r="E13" s="821"/>
      <c r="F13" s="68"/>
    </row>
    <row r="14" spans="1:6" ht="18" x14ac:dyDescent="0.25">
      <c r="A14" s="266" t="s">
        <v>320</v>
      </c>
      <c r="B14" s="393"/>
      <c r="C14" s="94">
        <f>C2+C5+C7+C10+C12</f>
        <v>150</v>
      </c>
      <c r="D14" s="74"/>
      <c r="E14" s="738"/>
      <c r="F14" s="94">
        <f>F2+F5+F7+F10+F12</f>
        <v>102</v>
      </c>
    </row>
    <row r="15" spans="1:6" ht="18" x14ac:dyDescent="0.25">
      <c r="A15" s="266" t="s">
        <v>321</v>
      </c>
      <c r="B15" s="393"/>
      <c r="C15" s="522">
        <f>C14/(15*35)</f>
        <v>0.2857142857142857</v>
      </c>
      <c r="D15" s="74"/>
      <c r="E15" s="738"/>
      <c r="F15" s="523">
        <f>F14/(15*35)</f>
        <v>0.19428571428571428</v>
      </c>
    </row>
    <row r="16" spans="1:6" ht="18" x14ac:dyDescent="0.25">
      <c r="A16" s="266" t="s">
        <v>322</v>
      </c>
      <c r="B16" s="393"/>
      <c r="C16" s="522">
        <f>(C15+F15)/2</f>
        <v>0.24</v>
      </c>
      <c r="D16" s="86"/>
      <c r="E16" s="602"/>
      <c r="F16" s="10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9"/>
  <sheetViews>
    <sheetView workbookViewId="0">
      <selection activeCell="G17" sqref="G17"/>
    </sheetView>
  </sheetViews>
  <sheetFormatPr defaultRowHeight="21" x14ac:dyDescent="0.4"/>
  <cols>
    <col min="1" max="1" width="16.09765625" style="121" customWidth="1"/>
    <col min="2" max="2" width="10.296875" style="70" bestFit="1" customWidth="1"/>
    <col min="3" max="4" width="10.59765625" style="72" customWidth="1"/>
    <col min="5" max="5" width="8.796875" style="70"/>
    <col min="6" max="6" width="10.296875" style="72" bestFit="1" customWidth="1"/>
    <col min="7" max="16384" width="8.796875" style="72"/>
  </cols>
  <sheetData>
    <row r="1" spans="1:6" x14ac:dyDescent="0.4">
      <c r="C1" s="87" t="s">
        <v>512</v>
      </c>
      <c r="F1" s="87" t="s">
        <v>513</v>
      </c>
    </row>
    <row r="2" spans="1:6" x14ac:dyDescent="0.4">
      <c r="A2" s="497" t="s">
        <v>124</v>
      </c>
      <c r="B2" s="738"/>
      <c r="C2" s="94"/>
      <c r="D2" s="74"/>
      <c r="E2" s="738"/>
      <c r="F2" s="94">
        <f>SUM(F3:F3)</f>
        <v>6</v>
      </c>
    </row>
    <row r="3" spans="1:6" x14ac:dyDescent="0.4">
      <c r="B3" s="71"/>
      <c r="C3" s="95"/>
      <c r="D3" s="526" t="s">
        <v>138</v>
      </c>
      <c r="E3" s="812" t="s">
        <v>3</v>
      </c>
      <c r="F3" s="85">
        <v>6</v>
      </c>
    </row>
    <row r="4" spans="1:6" x14ac:dyDescent="0.4">
      <c r="A4" s="496" t="s">
        <v>128</v>
      </c>
      <c r="B4" s="738"/>
      <c r="C4" s="94">
        <f>SUM(C5:C6)</f>
        <v>60</v>
      </c>
      <c r="D4" s="85"/>
      <c r="E4" s="536" t="s">
        <v>3</v>
      </c>
      <c r="F4" s="94">
        <f>SUM(F5:F6)</f>
        <v>21</v>
      </c>
    </row>
    <row r="5" spans="1:6" x14ac:dyDescent="0.4">
      <c r="A5" s="112" t="s">
        <v>144</v>
      </c>
      <c r="B5" s="69" t="s">
        <v>3</v>
      </c>
      <c r="C5" s="93">
        <v>45</v>
      </c>
      <c r="D5" s="508" t="s">
        <v>655</v>
      </c>
      <c r="E5" s="738" t="s">
        <v>3</v>
      </c>
      <c r="F5" s="87">
        <v>21</v>
      </c>
    </row>
    <row r="6" spans="1:6" x14ac:dyDescent="0.4">
      <c r="A6" s="112" t="s">
        <v>145</v>
      </c>
      <c r="B6" s="807" t="s">
        <v>236</v>
      </c>
      <c r="C6" s="86">
        <v>15</v>
      </c>
      <c r="D6" s="527"/>
      <c r="E6" s="602"/>
      <c r="F6" s="85"/>
    </row>
    <row r="7" spans="1:6" ht="18" x14ac:dyDescent="0.25">
      <c r="A7" s="276" t="s">
        <v>320</v>
      </c>
      <c r="B7" s="69"/>
      <c r="C7" s="87">
        <f>C2+C4</f>
        <v>60</v>
      </c>
      <c r="D7" s="74"/>
      <c r="E7" s="738"/>
      <c r="F7" s="87">
        <f>F2+F4</f>
        <v>27</v>
      </c>
    </row>
    <row r="8" spans="1:6" ht="18" x14ac:dyDescent="0.25">
      <c r="A8" s="266" t="s">
        <v>321</v>
      </c>
      <c r="B8" s="393"/>
      <c r="C8" s="522">
        <f>C7/(15*35)</f>
        <v>0.11428571428571428</v>
      </c>
      <c r="D8" s="74"/>
      <c r="E8" s="738"/>
      <c r="F8" s="523">
        <f>F7/(15*35)</f>
        <v>5.1428571428571428E-2</v>
      </c>
    </row>
    <row r="9" spans="1:6" ht="18" x14ac:dyDescent="0.25">
      <c r="A9" s="266" t="s">
        <v>322</v>
      </c>
      <c r="B9" s="393"/>
      <c r="C9" s="522">
        <f>(C8+F8)/2</f>
        <v>8.2857142857142851E-2</v>
      </c>
      <c r="D9" s="86"/>
      <c r="E9" s="602"/>
      <c r="F9" s="101"/>
    </row>
    <row r="10" spans="1:6" ht="13.8" x14ac:dyDescent="0.25">
      <c r="A10" s="72"/>
    </row>
    <row r="11" spans="1:6" ht="13.8" x14ac:dyDescent="0.25">
      <c r="A11" s="72"/>
    </row>
    <row r="12" spans="1:6" ht="13.8" x14ac:dyDescent="0.25">
      <c r="A12" s="72"/>
    </row>
    <row r="13" spans="1:6" ht="13.8" x14ac:dyDescent="0.25">
      <c r="A13" s="72"/>
    </row>
    <row r="14" spans="1:6" ht="13.8" x14ac:dyDescent="0.25">
      <c r="A14" s="72"/>
    </row>
    <row r="15" spans="1:6" ht="13.8" x14ac:dyDescent="0.25">
      <c r="A15" s="72"/>
    </row>
    <row r="16" spans="1:6" ht="13.8" x14ac:dyDescent="0.25">
      <c r="A16" s="72"/>
    </row>
    <row r="17" spans="1:1" ht="13.8" x14ac:dyDescent="0.25">
      <c r="A17" s="72"/>
    </row>
    <row r="18" spans="1:1" ht="13.8" x14ac:dyDescent="0.25">
      <c r="A18" s="72"/>
    </row>
    <row r="19" spans="1:1" ht="13.8" x14ac:dyDescent="0.25">
      <c r="A19" s="72"/>
    </row>
    <row r="20" spans="1:1" ht="13.8" x14ac:dyDescent="0.25">
      <c r="A20" s="72"/>
    </row>
    <row r="21" spans="1:1" ht="13.8" x14ac:dyDescent="0.25">
      <c r="A21" s="72"/>
    </row>
    <row r="22" spans="1:1" ht="13.8" x14ac:dyDescent="0.25">
      <c r="A22" s="72"/>
    </row>
    <row r="23" spans="1:1" ht="13.8" x14ac:dyDescent="0.25">
      <c r="A23" s="72"/>
    </row>
    <row r="24" spans="1:1" ht="13.8" x14ac:dyDescent="0.25">
      <c r="A24" s="72"/>
    </row>
    <row r="25" spans="1:1" ht="13.8" x14ac:dyDescent="0.25">
      <c r="A25" s="72"/>
    </row>
    <row r="26" spans="1:1" ht="13.8" x14ac:dyDescent="0.25">
      <c r="A26" s="72"/>
    </row>
    <row r="27" spans="1:1" ht="13.8" x14ac:dyDescent="0.25">
      <c r="A27" s="72"/>
    </row>
    <row r="28" spans="1:1" ht="13.8" x14ac:dyDescent="0.25">
      <c r="A28" s="72"/>
    </row>
    <row r="29" spans="1:1" ht="13.8" x14ac:dyDescent="0.25">
      <c r="A29" s="72"/>
    </row>
    <row r="30" spans="1:1" ht="13.8" x14ac:dyDescent="0.25">
      <c r="A30" s="72"/>
    </row>
    <row r="31" spans="1:1" ht="13.8" x14ac:dyDescent="0.25">
      <c r="A31" s="72"/>
    </row>
    <row r="32" spans="1:1" ht="13.8" x14ac:dyDescent="0.25">
      <c r="A32" s="72"/>
    </row>
    <row r="33" spans="1:1" ht="13.8" x14ac:dyDescent="0.25">
      <c r="A33" s="72"/>
    </row>
    <row r="34" spans="1:1" ht="13.8" x14ac:dyDescent="0.25">
      <c r="A34" s="72"/>
    </row>
    <row r="35" spans="1:1" ht="13.8" x14ac:dyDescent="0.25">
      <c r="A35" s="72"/>
    </row>
    <row r="36" spans="1:1" ht="13.8" x14ac:dyDescent="0.25">
      <c r="A36" s="72"/>
    </row>
    <row r="37" spans="1:1" ht="13.8" x14ac:dyDescent="0.25">
      <c r="A37" s="72"/>
    </row>
    <row r="38" spans="1:1" ht="13.8" x14ac:dyDescent="0.25">
      <c r="A38" s="72"/>
    </row>
    <row r="39" spans="1:1" ht="13.8" x14ac:dyDescent="0.25">
      <c r="A39" s="72"/>
    </row>
    <row r="40" spans="1:1" ht="13.8" x14ac:dyDescent="0.25">
      <c r="A40" s="72"/>
    </row>
    <row r="41" spans="1:1" ht="13.8" x14ac:dyDescent="0.25">
      <c r="A41" s="72"/>
    </row>
    <row r="42" spans="1:1" ht="13.8" x14ac:dyDescent="0.25">
      <c r="A42" s="72"/>
    </row>
    <row r="43" spans="1:1" ht="13.8" x14ac:dyDescent="0.25">
      <c r="A43" s="72"/>
    </row>
    <row r="44" spans="1:1" ht="13.8" x14ac:dyDescent="0.25">
      <c r="A44" s="72"/>
    </row>
    <row r="45" spans="1:1" ht="13.8" x14ac:dyDescent="0.25">
      <c r="A45" s="72"/>
    </row>
    <row r="46" spans="1:1" ht="13.8" x14ac:dyDescent="0.25">
      <c r="A46" s="72"/>
    </row>
    <row r="47" spans="1:1" ht="13.8" x14ac:dyDescent="0.25">
      <c r="A47" s="72"/>
    </row>
    <row r="54" spans="1:1" ht="13.8" x14ac:dyDescent="0.25">
      <c r="A54" s="72"/>
    </row>
    <row r="55" spans="1:1" ht="13.8" x14ac:dyDescent="0.25">
      <c r="A55" s="72"/>
    </row>
    <row r="56" spans="1:1" ht="13.8" x14ac:dyDescent="0.25">
      <c r="A56" s="72"/>
    </row>
    <row r="57" spans="1:1" ht="13.8" x14ac:dyDescent="0.25">
      <c r="A57" s="72"/>
    </row>
    <row r="58" spans="1:1" ht="13.8" x14ac:dyDescent="0.25">
      <c r="A58" s="72"/>
    </row>
    <row r="59" spans="1:1" ht="13.8" x14ac:dyDescent="0.25">
      <c r="A59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89"/>
  <sheetViews>
    <sheetView workbookViewId="0">
      <selection activeCell="H85" sqref="H85"/>
    </sheetView>
  </sheetViews>
  <sheetFormatPr defaultRowHeight="13.8" x14ac:dyDescent="0.25"/>
  <cols>
    <col min="1" max="1" width="25.5" style="72" customWidth="1"/>
    <col min="2" max="2" width="9.69921875" style="70" customWidth="1"/>
    <col min="3" max="3" width="10.3984375" style="549" customWidth="1"/>
    <col min="4" max="4" width="10.3984375" style="513" customWidth="1"/>
    <col min="5" max="5" width="9.69921875" style="70" customWidth="1"/>
    <col min="6" max="6" width="10.3984375" style="549" customWidth="1"/>
    <col min="7" max="16384" width="8.796875" style="72"/>
  </cols>
  <sheetData>
    <row r="1" spans="1:6" x14ac:dyDescent="0.25">
      <c r="A1" s="68"/>
      <c r="B1" s="71"/>
      <c r="C1" s="69" t="s">
        <v>512</v>
      </c>
      <c r="D1" s="253"/>
      <c r="E1" s="71"/>
      <c r="F1" s="69" t="s">
        <v>513</v>
      </c>
    </row>
    <row r="2" spans="1:6" ht="21" x14ac:dyDescent="0.55000000000000004">
      <c r="A2" s="871" t="s">
        <v>423</v>
      </c>
      <c r="B2" s="62"/>
      <c r="C2" s="1040">
        <f>SUM(C3:C5)</f>
        <v>37.875</v>
      </c>
      <c r="D2" s="809"/>
      <c r="E2" s="62"/>
      <c r="F2" s="1040">
        <f>SUM(F3:F5)</f>
        <v>46.5</v>
      </c>
    </row>
    <row r="3" spans="1:6" ht="21" x14ac:dyDescent="0.4">
      <c r="A3" s="845" t="s">
        <v>436</v>
      </c>
      <c r="B3" s="824" t="s">
        <v>667</v>
      </c>
      <c r="C3" s="347">
        <v>6</v>
      </c>
      <c r="D3" s="823" t="s">
        <v>425</v>
      </c>
      <c r="E3" s="129" t="s">
        <v>670</v>
      </c>
      <c r="F3" s="347">
        <v>15</v>
      </c>
    </row>
    <row r="4" spans="1:6" ht="21" x14ac:dyDescent="0.4">
      <c r="A4" s="845" t="s">
        <v>800</v>
      </c>
      <c r="B4" s="824" t="s">
        <v>670</v>
      </c>
      <c r="C4" s="347">
        <v>15</v>
      </c>
      <c r="D4" s="823" t="s">
        <v>427</v>
      </c>
      <c r="E4" s="129" t="s">
        <v>670</v>
      </c>
      <c r="F4" s="347">
        <v>9</v>
      </c>
    </row>
    <row r="5" spans="1:6" ht="21.6" thickBot="1" x14ac:dyDescent="0.45">
      <c r="A5" s="1056" t="s">
        <v>426</v>
      </c>
      <c r="B5" s="1057" t="s">
        <v>668</v>
      </c>
      <c r="C5" s="1058">
        <v>16.875</v>
      </c>
      <c r="D5" s="1059" t="s">
        <v>428</v>
      </c>
      <c r="E5" s="1057" t="s">
        <v>668</v>
      </c>
      <c r="F5" s="1058">
        <v>22.5</v>
      </c>
    </row>
    <row r="6" spans="1:6" s="80" customFormat="1" ht="21" x14ac:dyDescent="0.25">
      <c r="A6" s="1039" t="s">
        <v>429</v>
      </c>
      <c r="B6" s="79"/>
      <c r="C6" s="1054">
        <f>SUM(C7:C11)</f>
        <v>159.75</v>
      </c>
      <c r="D6" s="1055"/>
      <c r="E6" s="79"/>
      <c r="F6" s="1054">
        <f>SUM(F7:F11)</f>
        <v>108.75</v>
      </c>
    </row>
    <row r="7" spans="1:6" ht="21" x14ac:dyDescent="0.4">
      <c r="A7" s="845" t="s">
        <v>473</v>
      </c>
      <c r="B7" s="824" t="s">
        <v>667</v>
      </c>
      <c r="C7" s="958">
        <v>45</v>
      </c>
      <c r="D7" s="823" t="s">
        <v>430</v>
      </c>
      <c r="E7" s="129" t="s">
        <v>667</v>
      </c>
      <c r="F7" s="958">
        <v>21</v>
      </c>
    </row>
    <row r="8" spans="1:6" ht="21" x14ac:dyDescent="0.4">
      <c r="A8" s="841" t="s">
        <v>431</v>
      </c>
      <c r="B8" s="129" t="s">
        <v>667</v>
      </c>
      <c r="C8" s="958">
        <v>45</v>
      </c>
      <c r="D8" s="823" t="s">
        <v>432</v>
      </c>
      <c r="E8" s="129" t="s">
        <v>667</v>
      </c>
      <c r="F8" s="958">
        <v>24</v>
      </c>
    </row>
    <row r="9" spans="1:6" ht="21" x14ac:dyDescent="0.4">
      <c r="A9" s="841" t="s">
        <v>437</v>
      </c>
      <c r="B9" s="129" t="s">
        <v>670</v>
      </c>
      <c r="C9" s="958">
        <v>22.5</v>
      </c>
      <c r="D9" s="823" t="s">
        <v>434</v>
      </c>
      <c r="E9" s="129" t="s">
        <v>670</v>
      </c>
      <c r="F9" s="958">
        <v>30</v>
      </c>
    </row>
    <row r="10" spans="1:6" ht="21" x14ac:dyDescent="0.4">
      <c r="A10" s="841" t="s">
        <v>424</v>
      </c>
      <c r="B10" s="129" t="s">
        <v>670</v>
      </c>
      <c r="C10" s="1041">
        <v>13.5</v>
      </c>
      <c r="D10" s="823" t="s">
        <v>428</v>
      </c>
      <c r="E10" s="129" t="s">
        <v>668</v>
      </c>
      <c r="F10" s="1041">
        <v>33.75</v>
      </c>
    </row>
    <row r="11" spans="1:6" ht="21.6" thickBot="1" x14ac:dyDescent="0.45">
      <c r="A11" s="1056" t="s">
        <v>426</v>
      </c>
      <c r="B11" s="1057" t="s">
        <v>668</v>
      </c>
      <c r="C11" s="1062">
        <v>33.75</v>
      </c>
      <c r="D11" s="1063"/>
      <c r="E11" s="1064"/>
      <c r="F11" s="1065"/>
    </row>
    <row r="12" spans="1:6" ht="20.399999999999999" x14ac:dyDescent="0.25">
      <c r="A12" s="1060" t="s">
        <v>371</v>
      </c>
      <c r="B12" s="819"/>
      <c r="C12" s="1061">
        <f>SUM(C13:C15)</f>
        <v>60</v>
      </c>
      <c r="D12" s="816"/>
      <c r="E12" s="819"/>
      <c r="F12" s="1061">
        <f>SUM(F13:F15)</f>
        <v>101.25</v>
      </c>
    </row>
    <row r="13" spans="1:6" ht="21" x14ac:dyDescent="0.4">
      <c r="A13" s="845" t="s">
        <v>436</v>
      </c>
      <c r="B13" s="824" t="s">
        <v>667</v>
      </c>
      <c r="C13" s="347">
        <v>24</v>
      </c>
      <c r="D13" s="684" t="s">
        <v>436</v>
      </c>
      <c r="E13" s="69" t="s">
        <v>3</v>
      </c>
      <c r="F13" s="347">
        <f>3*15</f>
        <v>45</v>
      </c>
    </row>
    <row r="14" spans="1:6" ht="21" x14ac:dyDescent="0.4">
      <c r="A14" s="841" t="s">
        <v>436</v>
      </c>
      <c r="B14" s="129" t="s">
        <v>667</v>
      </c>
      <c r="C14" s="347">
        <v>24</v>
      </c>
      <c r="D14" s="684" t="s">
        <v>428</v>
      </c>
      <c r="E14" s="69" t="s">
        <v>2</v>
      </c>
      <c r="F14" s="347">
        <f>7.5*15/2</f>
        <v>56.25</v>
      </c>
    </row>
    <row r="15" spans="1:6" ht="21.6" thickBot="1" x14ac:dyDescent="0.45">
      <c r="A15" s="1066" t="s">
        <v>437</v>
      </c>
      <c r="B15" s="122" t="s">
        <v>670</v>
      </c>
      <c r="C15" s="344">
        <v>12</v>
      </c>
      <c r="D15" s="253"/>
      <c r="E15" s="71"/>
      <c r="F15" s="344"/>
    </row>
    <row r="16" spans="1:6" s="80" customFormat="1" ht="21" x14ac:dyDescent="0.25">
      <c r="A16" s="1068" t="s">
        <v>439</v>
      </c>
      <c r="B16" s="1069"/>
      <c r="C16" s="1070">
        <f>SUM(C17:C21)</f>
        <v>185.625</v>
      </c>
      <c r="D16" s="1071"/>
      <c r="E16" s="1069"/>
      <c r="F16" s="1070">
        <f>SUM(F17:F20)</f>
        <v>149.625</v>
      </c>
    </row>
    <row r="17" spans="1:6" s="80" customFormat="1" ht="21" x14ac:dyDescent="0.4">
      <c r="A17" s="845" t="s">
        <v>796</v>
      </c>
      <c r="B17" s="824" t="s">
        <v>667</v>
      </c>
      <c r="C17" s="958">
        <v>45</v>
      </c>
      <c r="D17" s="457" t="s">
        <v>796</v>
      </c>
      <c r="E17" s="116" t="s">
        <v>667</v>
      </c>
      <c r="F17" s="1052">
        <v>45</v>
      </c>
    </row>
    <row r="18" spans="1:6" s="80" customFormat="1" ht="21" x14ac:dyDescent="0.4">
      <c r="A18" s="845" t="s">
        <v>446</v>
      </c>
      <c r="B18" s="824" t="s">
        <v>667</v>
      </c>
      <c r="C18" s="958">
        <v>45</v>
      </c>
      <c r="D18" s="457" t="s">
        <v>440</v>
      </c>
      <c r="E18" s="116" t="s">
        <v>667</v>
      </c>
      <c r="F18" s="1052">
        <v>45</v>
      </c>
    </row>
    <row r="19" spans="1:6" s="80" customFormat="1" ht="21" x14ac:dyDescent="0.4">
      <c r="A19" s="845" t="s">
        <v>800</v>
      </c>
      <c r="B19" s="824" t="s">
        <v>670</v>
      </c>
      <c r="C19" s="958">
        <v>15</v>
      </c>
      <c r="D19" s="823" t="s">
        <v>433</v>
      </c>
      <c r="E19" s="129" t="s">
        <v>670</v>
      </c>
      <c r="F19" s="1052">
        <v>9</v>
      </c>
    </row>
    <row r="20" spans="1:6" s="80" customFormat="1" ht="21" x14ac:dyDescent="0.4">
      <c r="A20" s="841" t="s">
        <v>425</v>
      </c>
      <c r="B20" s="129" t="s">
        <v>670</v>
      </c>
      <c r="C20" s="958">
        <v>30</v>
      </c>
      <c r="D20" s="1000" t="s">
        <v>428</v>
      </c>
      <c r="E20" s="987" t="s">
        <v>668</v>
      </c>
      <c r="F20" s="1050">
        <v>50.625</v>
      </c>
    </row>
    <row r="21" spans="1:6" s="80" customFormat="1" ht="21.6" thickBot="1" x14ac:dyDescent="0.45">
      <c r="A21" s="1056" t="s">
        <v>426</v>
      </c>
      <c r="B21" s="1072" t="s">
        <v>668</v>
      </c>
      <c r="C21" s="1073">
        <v>50.625</v>
      </c>
      <c r="D21" s="1074"/>
      <c r="E21" s="1074"/>
      <c r="F21" s="1074"/>
    </row>
    <row r="22" spans="1:6" x14ac:dyDescent="0.25">
      <c r="A22" s="1060" t="s">
        <v>393</v>
      </c>
      <c r="B22" s="819"/>
      <c r="C22" s="876">
        <f>SUM(C23:C27)</f>
        <v>51.75</v>
      </c>
      <c r="D22" s="1067"/>
      <c r="E22" s="819"/>
      <c r="F22" s="884">
        <f>SUM(F23:F27)</f>
        <v>78</v>
      </c>
    </row>
    <row r="23" spans="1:6" ht="21" x14ac:dyDescent="0.4">
      <c r="A23" s="845" t="s">
        <v>807</v>
      </c>
      <c r="B23" s="1017" t="s">
        <v>667</v>
      </c>
      <c r="C23" s="1042">
        <v>9</v>
      </c>
      <c r="D23" s="680" t="s">
        <v>790</v>
      </c>
      <c r="E23" s="703" t="s">
        <v>667</v>
      </c>
      <c r="F23" s="1048">
        <v>15</v>
      </c>
    </row>
    <row r="24" spans="1:6" ht="21" x14ac:dyDescent="0.4">
      <c r="A24" s="1012" t="s">
        <v>433</v>
      </c>
      <c r="B24" s="1020" t="s">
        <v>670</v>
      </c>
      <c r="C24" s="1043">
        <v>10.5</v>
      </c>
      <c r="D24" s="823" t="s">
        <v>443</v>
      </c>
      <c r="E24" s="129" t="s">
        <v>667</v>
      </c>
      <c r="F24" s="1048">
        <v>45</v>
      </c>
    </row>
    <row r="25" spans="1:6" ht="21" x14ac:dyDescent="0.4">
      <c r="A25" s="1013" t="s">
        <v>435</v>
      </c>
      <c r="B25" s="1021" t="s">
        <v>670</v>
      </c>
      <c r="C25" s="1044">
        <v>15</v>
      </c>
      <c r="D25" s="823" t="s">
        <v>444</v>
      </c>
      <c r="E25" s="129" t="s">
        <v>670</v>
      </c>
      <c r="F25" s="1048">
        <v>18</v>
      </c>
    </row>
    <row r="26" spans="1:6" ht="21" x14ac:dyDescent="0.4">
      <c r="A26" s="1014" t="s">
        <v>424</v>
      </c>
      <c r="B26" s="129" t="s">
        <v>1</v>
      </c>
      <c r="C26" s="1045">
        <v>6</v>
      </c>
      <c r="D26" s="823"/>
      <c r="E26" s="129"/>
      <c r="F26" s="1048"/>
    </row>
    <row r="27" spans="1:6" ht="21.6" thickBot="1" x14ac:dyDescent="0.45">
      <c r="A27" s="1075" t="s">
        <v>426</v>
      </c>
      <c r="B27" s="1076" t="s">
        <v>668</v>
      </c>
      <c r="C27" s="1077">
        <v>11.25</v>
      </c>
      <c r="D27" s="998"/>
      <c r="E27" s="122"/>
      <c r="F27" s="1049"/>
    </row>
    <row r="28" spans="1:6" x14ac:dyDescent="0.25">
      <c r="A28" s="1079" t="s">
        <v>445</v>
      </c>
      <c r="B28" s="1080"/>
      <c r="C28" s="1081">
        <f>SUM(C29:C32)</f>
        <v>127.5</v>
      </c>
      <c r="D28" s="1086"/>
      <c r="E28" s="1087"/>
      <c r="F28" s="1088"/>
    </row>
    <row r="29" spans="1:6" ht="21" x14ac:dyDescent="0.4">
      <c r="A29" s="845" t="s">
        <v>436</v>
      </c>
      <c r="B29" s="1019" t="s">
        <v>667</v>
      </c>
      <c r="C29" s="1034">
        <v>24</v>
      </c>
      <c r="D29" s="376"/>
      <c r="E29" s="375"/>
      <c r="F29" s="396"/>
    </row>
    <row r="30" spans="1:6" ht="21" x14ac:dyDescent="0.4">
      <c r="A30" s="841" t="s">
        <v>436</v>
      </c>
      <c r="B30" s="129" t="s">
        <v>667</v>
      </c>
      <c r="C30" s="1034">
        <v>24</v>
      </c>
      <c r="D30" s="376"/>
      <c r="E30" s="375"/>
      <c r="F30" s="396"/>
    </row>
    <row r="31" spans="1:6" ht="21" x14ac:dyDescent="0.4">
      <c r="A31" s="841" t="s">
        <v>437</v>
      </c>
      <c r="B31" s="129" t="s">
        <v>670</v>
      </c>
      <c r="C31" s="1034">
        <v>12</v>
      </c>
      <c r="D31" s="376"/>
      <c r="E31" s="375"/>
      <c r="F31" s="396"/>
    </row>
    <row r="32" spans="1:6" ht="21.6" thickBot="1" x14ac:dyDescent="0.45">
      <c r="A32" s="1056" t="s">
        <v>426</v>
      </c>
      <c r="B32" s="1057" t="s">
        <v>668</v>
      </c>
      <c r="C32" s="1082">
        <v>67.5</v>
      </c>
      <c r="D32" s="1083"/>
      <c r="E32" s="1084"/>
      <c r="F32" s="1085"/>
    </row>
    <row r="33" spans="1:6" x14ac:dyDescent="0.25">
      <c r="A33" s="1060" t="s">
        <v>447</v>
      </c>
      <c r="B33" s="819"/>
      <c r="C33" s="876">
        <f>SUM(C34:C36)</f>
        <v>42</v>
      </c>
      <c r="D33" s="1067"/>
      <c r="E33" s="819"/>
      <c r="F33" s="1078">
        <f>SUM(F34:F36)</f>
        <v>55.125</v>
      </c>
    </row>
    <row r="34" spans="1:6" ht="21" x14ac:dyDescent="0.4">
      <c r="A34" s="841" t="s">
        <v>424</v>
      </c>
      <c r="B34" s="129" t="s">
        <v>670</v>
      </c>
      <c r="C34" s="1046">
        <v>19.5</v>
      </c>
      <c r="D34" s="680" t="s">
        <v>496</v>
      </c>
      <c r="E34" s="116" t="s">
        <v>667</v>
      </c>
      <c r="F34" s="1049">
        <f>(12*4+6)/2</f>
        <v>27</v>
      </c>
    </row>
    <row r="35" spans="1:6" ht="21" x14ac:dyDescent="0.4">
      <c r="A35" s="841" t="s">
        <v>428</v>
      </c>
      <c r="B35" s="129" t="s">
        <v>668</v>
      </c>
      <c r="C35" s="957">
        <v>22.5</v>
      </c>
      <c r="D35" s="823" t="s">
        <v>444</v>
      </c>
      <c r="E35" s="129" t="s">
        <v>670</v>
      </c>
      <c r="F35" s="1052">
        <f>2.25*15/2</f>
        <v>16.875</v>
      </c>
    </row>
    <row r="36" spans="1:6" ht="21.6" thickBot="1" x14ac:dyDescent="0.45">
      <c r="A36" s="1066"/>
      <c r="B36" s="122"/>
      <c r="C36" s="1047"/>
      <c r="D36" s="998" t="s">
        <v>428</v>
      </c>
      <c r="E36" s="122" t="s">
        <v>668</v>
      </c>
      <c r="F36" s="1050">
        <f>1.5*15/2</f>
        <v>11.25</v>
      </c>
    </row>
    <row r="37" spans="1:6" x14ac:dyDescent="0.25">
      <c r="A37" s="1092" t="s">
        <v>448</v>
      </c>
      <c r="B37" s="1093"/>
      <c r="C37" s="1070">
        <f>SUM(C38:C43)</f>
        <v>143.625</v>
      </c>
      <c r="D37" s="1094"/>
      <c r="E37" s="1093"/>
      <c r="F37" s="1095">
        <f>SUM(F38:F42)</f>
        <v>101.625</v>
      </c>
    </row>
    <row r="38" spans="1:6" ht="21" x14ac:dyDescent="0.4">
      <c r="A38" s="845" t="s">
        <v>449</v>
      </c>
      <c r="B38" s="824" t="s">
        <v>667</v>
      </c>
      <c r="C38" s="332">
        <v>45</v>
      </c>
      <c r="D38" s="120" t="s">
        <v>450</v>
      </c>
      <c r="E38" s="120" t="s">
        <v>667</v>
      </c>
      <c r="F38" s="396">
        <v>45</v>
      </c>
    </row>
    <row r="39" spans="1:6" ht="21" x14ac:dyDescent="0.4">
      <c r="A39" s="845" t="s">
        <v>451</v>
      </c>
      <c r="B39" s="1019" t="s">
        <v>667</v>
      </c>
      <c r="C39" s="332">
        <v>45</v>
      </c>
      <c r="D39" s="824" t="s">
        <v>444</v>
      </c>
      <c r="E39" s="129" t="s">
        <v>670</v>
      </c>
      <c r="F39" s="347">
        <v>30</v>
      </c>
    </row>
    <row r="40" spans="1:6" ht="21" x14ac:dyDescent="0.4">
      <c r="A40" s="841" t="s">
        <v>437</v>
      </c>
      <c r="B40" s="129" t="s">
        <v>670</v>
      </c>
      <c r="C40" s="332">
        <v>13.5</v>
      </c>
      <c r="D40" s="824" t="s">
        <v>427</v>
      </c>
      <c r="E40" s="129" t="s">
        <v>670</v>
      </c>
      <c r="F40" s="347">
        <v>6</v>
      </c>
    </row>
    <row r="41" spans="1:6" ht="21" x14ac:dyDescent="0.4">
      <c r="A41" s="841" t="s">
        <v>800</v>
      </c>
      <c r="B41" s="129" t="s">
        <v>670</v>
      </c>
      <c r="C41" s="332">
        <v>15</v>
      </c>
      <c r="D41" s="824" t="s">
        <v>425</v>
      </c>
      <c r="E41" s="129" t="s">
        <v>670</v>
      </c>
      <c r="F41" s="347">
        <v>15</v>
      </c>
    </row>
    <row r="42" spans="1:6" ht="21" x14ac:dyDescent="0.4">
      <c r="A42" s="841" t="s">
        <v>424</v>
      </c>
      <c r="B42" s="129" t="s">
        <v>670</v>
      </c>
      <c r="C42" s="332">
        <v>19.5</v>
      </c>
      <c r="D42" s="824" t="s">
        <v>428</v>
      </c>
      <c r="E42" s="129" t="s">
        <v>668</v>
      </c>
      <c r="F42" s="347">
        <v>5.625</v>
      </c>
    </row>
    <row r="43" spans="1:6" ht="21.6" thickBot="1" x14ac:dyDescent="0.45">
      <c r="A43" s="1056" t="s">
        <v>426</v>
      </c>
      <c r="B43" s="1057" t="s">
        <v>668</v>
      </c>
      <c r="C43" s="1096">
        <v>5.625</v>
      </c>
      <c r="D43" s="1097"/>
      <c r="E43" s="1057"/>
      <c r="F43" s="1085"/>
    </row>
    <row r="44" spans="1:6" ht="21" x14ac:dyDescent="0.25">
      <c r="A44" s="1089" t="s">
        <v>453</v>
      </c>
      <c r="B44" s="60"/>
      <c r="C44" s="910">
        <f>SUM(C45:C46)</f>
        <v>22.875</v>
      </c>
      <c r="D44" s="1090"/>
      <c r="E44" s="60"/>
      <c r="F44" s="1091">
        <f>SUM(F45:F46)</f>
        <v>61.875</v>
      </c>
    </row>
    <row r="45" spans="1:6" ht="21" x14ac:dyDescent="0.25">
      <c r="A45" s="1015" t="s">
        <v>424</v>
      </c>
      <c r="B45" s="69" t="s">
        <v>1</v>
      </c>
      <c r="C45" s="347">
        <v>6</v>
      </c>
      <c r="D45" s="457" t="s">
        <v>454</v>
      </c>
      <c r="E45" s="116" t="s">
        <v>667</v>
      </c>
      <c r="F45" s="396">
        <v>45</v>
      </c>
    </row>
    <row r="46" spans="1:6" ht="21.6" thickBot="1" x14ac:dyDescent="0.45">
      <c r="A46" s="1015" t="s">
        <v>426</v>
      </c>
      <c r="B46" s="71" t="s">
        <v>2</v>
      </c>
      <c r="C46" s="1098">
        <v>16.875</v>
      </c>
      <c r="D46" s="998" t="s">
        <v>428</v>
      </c>
      <c r="E46" s="122" t="s">
        <v>668</v>
      </c>
      <c r="F46" s="1053">
        <v>16.875</v>
      </c>
    </row>
    <row r="47" spans="1:6" x14ac:dyDescent="0.25">
      <c r="A47" s="1092" t="s">
        <v>455</v>
      </c>
      <c r="B47" s="1093"/>
      <c r="C47" s="1101">
        <f>SUM(C48:C52)</f>
        <v>100.5</v>
      </c>
      <c r="D47" s="1102"/>
      <c r="E47" s="1093"/>
      <c r="F47" s="1103">
        <f>SUM(F48:F52)</f>
        <v>180</v>
      </c>
    </row>
    <row r="48" spans="1:6" ht="21" x14ac:dyDescent="0.4">
      <c r="A48" s="845" t="s">
        <v>810</v>
      </c>
      <c r="B48" s="824" t="s">
        <v>667</v>
      </c>
      <c r="C48" s="347">
        <v>45</v>
      </c>
      <c r="D48" s="457" t="s">
        <v>777</v>
      </c>
      <c r="E48" s="116" t="s">
        <v>667</v>
      </c>
      <c r="F48" s="395">
        <v>45</v>
      </c>
    </row>
    <row r="49" spans="1:6" ht="21" x14ac:dyDescent="0.4">
      <c r="A49" s="841" t="s">
        <v>811</v>
      </c>
      <c r="B49" s="129" t="s">
        <v>670</v>
      </c>
      <c r="C49" s="347">
        <v>13.5</v>
      </c>
      <c r="D49" s="457" t="s">
        <v>456</v>
      </c>
      <c r="E49" s="116" t="s">
        <v>667</v>
      </c>
      <c r="F49" s="347">
        <v>45</v>
      </c>
    </row>
    <row r="50" spans="1:6" ht="21" x14ac:dyDescent="0.4">
      <c r="A50" s="841" t="s">
        <v>437</v>
      </c>
      <c r="B50" s="129" t="s">
        <v>670</v>
      </c>
      <c r="C50" s="347">
        <v>13.5</v>
      </c>
      <c r="D50" s="823" t="s">
        <v>457</v>
      </c>
      <c r="E50" s="129" t="s">
        <v>667</v>
      </c>
      <c r="F50" s="347">
        <v>45</v>
      </c>
    </row>
    <row r="51" spans="1:6" ht="21" x14ac:dyDescent="0.4">
      <c r="A51" s="841" t="s">
        <v>424</v>
      </c>
      <c r="B51" s="129" t="s">
        <v>670</v>
      </c>
      <c r="C51" s="347">
        <v>6</v>
      </c>
      <c r="D51" s="823" t="s">
        <v>458</v>
      </c>
      <c r="E51" s="824" t="s">
        <v>670</v>
      </c>
      <c r="F51" s="347">
        <v>22.5</v>
      </c>
    </row>
    <row r="52" spans="1:6" ht="21.6" thickBot="1" x14ac:dyDescent="0.45">
      <c r="A52" s="1056" t="s">
        <v>426</v>
      </c>
      <c r="B52" s="1057" t="s">
        <v>668</v>
      </c>
      <c r="C52" s="1058">
        <v>22.5</v>
      </c>
      <c r="D52" s="1059" t="s">
        <v>428</v>
      </c>
      <c r="E52" s="1097" t="s">
        <v>668</v>
      </c>
      <c r="F52" s="1085">
        <v>22.5</v>
      </c>
    </row>
    <row r="53" spans="1:6" x14ac:dyDescent="0.25">
      <c r="A53" s="1099" t="s">
        <v>459</v>
      </c>
      <c r="B53" s="819"/>
      <c r="C53" s="884">
        <f>SUM(C54:C59)</f>
        <v>159</v>
      </c>
      <c r="D53" s="1022"/>
      <c r="E53" s="819"/>
      <c r="F53" s="1100">
        <f>SUM(F54:F59)</f>
        <v>148.5</v>
      </c>
    </row>
    <row r="54" spans="1:6" ht="21" x14ac:dyDescent="0.4">
      <c r="A54" s="823" t="s">
        <v>799</v>
      </c>
      <c r="B54" s="824" t="s">
        <v>667</v>
      </c>
      <c r="C54" s="957">
        <v>90</v>
      </c>
      <c r="D54" s="457" t="s">
        <v>461</v>
      </c>
      <c r="E54" s="116" t="s">
        <v>667</v>
      </c>
      <c r="F54" s="957">
        <v>45</v>
      </c>
    </row>
    <row r="55" spans="1:6" ht="21" x14ac:dyDescent="0.4">
      <c r="A55" s="823" t="s">
        <v>460</v>
      </c>
      <c r="B55" s="129" t="s">
        <v>667</v>
      </c>
      <c r="C55" s="957">
        <v>30</v>
      </c>
      <c r="D55" s="823" t="s">
        <v>460</v>
      </c>
      <c r="E55" s="129" t="s">
        <v>667</v>
      </c>
      <c r="F55" s="957">
        <v>30</v>
      </c>
    </row>
    <row r="56" spans="1:6" ht="21" x14ac:dyDescent="0.4">
      <c r="A56" s="823" t="s">
        <v>460</v>
      </c>
      <c r="B56" s="129" t="s">
        <v>670</v>
      </c>
      <c r="C56" s="957">
        <v>22.5</v>
      </c>
      <c r="D56" s="823" t="s">
        <v>460</v>
      </c>
      <c r="E56" s="129" t="s">
        <v>670</v>
      </c>
      <c r="F56" s="957">
        <v>22.5</v>
      </c>
    </row>
    <row r="57" spans="1:6" ht="21" x14ac:dyDescent="0.4">
      <c r="A57" s="823" t="s">
        <v>433</v>
      </c>
      <c r="B57" s="129" t="s">
        <v>670</v>
      </c>
      <c r="C57" s="957">
        <v>10.5</v>
      </c>
      <c r="D57" s="823" t="s">
        <v>444</v>
      </c>
      <c r="E57" s="129" t="s">
        <v>670</v>
      </c>
      <c r="F57" s="957">
        <v>30</v>
      </c>
    </row>
    <row r="58" spans="1:6" ht="21" x14ac:dyDescent="0.4">
      <c r="A58" s="823" t="s">
        <v>424</v>
      </c>
      <c r="B58" s="129" t="s">
        <v>670</v>
      </c>
      <c r="C58" s="957">
        <v>6</v>
      </c>
      <c r="D58" s="823" t="s">
        <v>427</v>
      </c>
      <c r="E58" s="129" t="s">
        <v>670</v>
      </c>
      <c r="F58" s="958">
        <v>6</v>
      </c>
    </row>
    <row r="59" spans="1:6" ht="21.6" thickBot="1" x14ac:dyDescent="0.45">
      <c r="A59" s="312"/>
      <c r="B59" s="810"/>
      <c r="C59" s="1046"/>
      <c r="D59" s="998" t="s">
        <v>425</v>
      </c>
      <c r="E59" s="122" t="s">
        <v>670</v>
      </c>
      <c r="F59" s="1046">
        <v>15</v>
      </c>
    </row>
    <row r="60" spans="1:6" x14ac:dyDescent="0.25">
      <c r="A60" s="1105" t="s">
        <v>462</v>
      </c>
      <c r="B60" s="1093"/>
      <c r="C60" s="1106">
        <f>SUM(C61:C64)</f>
        <v>72</v>
      </c>
      <c r="D60" s="1094"/>
      <c r="E60" s="1093"/>
      <c r="F60" s="1106">
        <f>SUM(F61:F64)</f>
        <v>147</v>
      </c>
    </row>
    <row r="61" spans="1:6" ht="21" x14ac:dyDescent="0.4">
      <c r="A61" s="823" t="s">
        <v>433</v>
      </c>
      <c r="B61" s="129" t="s">
        <v>670</v>
      </c>
      <c r="C61" s="957">
        <v>10.5</v>
      </c>
      <c r="D61" s="457" t="s">
        <v>463</v>
      </c>
      <c r="E61" s="116" t="s">
        <v>667</v>
      </c>
      <c r="F61" s="957">
        <v>90</v>
      </c>
    </row>
    <row r="62" spans="1:6" ht="21" x14ac:dyDescent="0.4">
      <c r="A62" s="823" t="s">
        <v>437</v>
      </c>
      <c r="B62" s="129" t="s">
        <v>670</v>
      </c>
      <c r="C62" s="957">
        <v>25.5</v>
      </c>
      <c r="D62" s="823" t="s">
        <v>444</v>
      </c>
      <c r="E62" s="129" t="s">
        <v>670</v>
      </c>
      <c r="F62" s="957">
        <v>30</v>
      </c>
    </row>
    <row r="63" spans="1:6" ht="21" x14ac:dyDescent="0.4">
      <c r="A63" s="823" t="s">
        <v>424</v>
      </c>
      <c r="B63" s="129" t="s">
        <v>670</v>
      </c>
      <c r="C63" s="957">
        <v>13.5</v>
      </c>
      <c r="D63" s="823" t="s">
        <v>427</v>
      </c>
      <c r="E63" s="129" t="s">
        <v>670</v>
      </c>
      <c r="F63" s="957">
        <v>12</v>
      </c>
    </row>
    <row r="64" spans="1:6" ht="21.6" thickBot="1" x14ac:dyDescent="0.45">
      <c r="A64" s="1059" t="s">
        <v>426</v>
      </c>
      <c r="B64" s="1057" t="s">
        <v>668</v>
      </c>
      <c r="C64" s="1107">
        <v>22.5</v>
      </c>
      <c r="D64" s="1059" t="s">
        <v>425</v>
      </c>
      <c r="E64" s="1057" t="s">
        <v>670</v>
      </c>
      <c r="F64" s="1107">
        <v>15</v>
      </c>
    </row>
    <row r="65" spans="1:6" x14ac:dyDescent="0.25">
      <c r="A65" s="146" t="s">
        <v>464</v>
      </c>
      <c r="B65" s="807"/>
      <c r="C65" s="704">
        <f>SUM(C66:C71)</f>
        <v>174</v>
      </c>
      <c r="D65" s="1104"/>
      <c r="E65" s="807"/>
      <c r="F65" s="873">
        <f>SUM(F66:F71)</f>
        <v>171.375</v>
      </c>
    </row>
    <row r="66" spans="1:6" ht="21" x14ac:dyDescent="0.4">
      <c r="A66" s="823" t="s">
        <v>466</v>
      </c>
      <c r="B66" s="824" t="s">
        <v>667</v>
      </c>
      <c r="C66" s="347">
        <f>3*15</f>
        <v>45</v>
      </c>
      <c r="D66" s="823" t="s">
        <v>467</v>
      </c>
      <c r="E66" s="129" t="s">
        <v>667</v>
      </c>
      <c r="F66" s="347">
        <v>24</v>
      </c>
    </row>
    <row r="67" spans="1:6" ht="21" x14ac:dyDescent="0.4">
      <c r="A67" s="823" t="s">
        <v>465</v>
      </c>
      <c r="B67" s="129" t="s">
        <v>667</v>
      </c>
      <c r="C67" s="347">
        <f>3*8</f>
        <v>24</v>
      </c>
      <c r="D67" s="823" t="s">
        <v>434</v>
      </c>
      <c r="E67" s="129" t="s">
        <v>670</v>
      </c>
      <c r="F67" s="347">
        <v>45</v>
      </c>
    </row>
    <row r="68" spans="1:6" ht="21" x14ac:dyDescent="0.4">
      <c r="A68" s="823" t="s">
        <v>433</v>
      </c>
      <c r="B68" s="129" t="s">
        <v>670</v>
      </c>
      <c r="C68" s="347">
        <f>(9*5+6*2+3)/2</f>
        <v>30</v>
      </c>
      <c r="D68" s="823" t="s">
        <v>427</v>
      </c>
      <c r="E68" s="129" t="s">
        <v>670</v>
      </c>
      <c r="F68" s="347">
        <v>45</v>
      </c>
    </row>
    <row r="69" spans="1:6" ht="21" x14ac:dyDescent="0.4">
      <c r="A69" s="823" t="s">
        <v>437</v>
      </c>
      <c r="B69" s="129" t="s">
        <v>670</v>
      </c>
      <c r="C69" s="347">
        <f>(9*4+3)/2</f>
        <v>19.5</v>
      </c>
      <c r="D69" s="823" t="s">
        <v>428</v>
      </c>
      <c r="E69" s="129" t="s">
        <v>668</v>
      </c>
      <c r="F69" s="347">
        <v>27</v>
      </c>
    </row>
    <row r="70" spans="1:6" ht="21" x14ac:dyDescent="0.4">
      <c r="A70" s="823" t="s">
        <v>424</v>
      </c>
      <c r="B70" s="129" t="s">
        <v>670</v>
      </c>
      <c r="C70" s="347">
        <f>3*7/2</f>
        <v>10.5</v>
      </c>
      <c r="D70" s="684"/>
      <c r="E70" s="69"/>
      <c r="F70" s="347">
        <v>13.5</v>
      </c>
    </row>
    <row r="71" spans="1:6" ht="21.6" thickBot="1" x14ac:dyDescent="0.45">
      <c r="A71" s="998" t="s">
        <v>426</v>
      </c>
      <c r="B71" s="122" t="s">
        <v>668</v>
      </c>
      <c r="C71" s="344">
        <f>6*15/2</f>
        <v>45</v>
      </c>
      <c r="D71" s="253"/>
      <c r="E71" s="71"/>
      <c r="F71" s="344">
        <v>16.875</v>
      </c>
    </row>
    <row r="72" spans="1:6" x14ac:dyDescent="0.25">
      <c r="A72" s="1108" t="s">
        <v>468</v>
      </c>
      <c r="B72" s="1080"/>
      <c r="C72" s="1101">
        <f>SUM(C73:C77)</f>
        <v>150</v>
      </c>
      <c r="D72" s="1102"/>
      <c r="E72" s="1080"/>
      <c r="F72" s="1101">
        <f>SUM(F73:F77)</f>
        <v>150</v>
      </c>
    </row>
    <row r="73" spans="1:6" ht="21" x14ac:dyDescent="0.4">
      <c r="A73" s="823" t="s">
        <v>485</v>
      </c>
      <c r="B73" s="824" t="s">
        <v>667</v>
      </c>
      <c r="C73" s="347">
        <f>3*15</f>
        <v>45</v>
      </c>
      <c r="D73" s="457" t="s">
        <v>470</v>
      </c>
      <c r="E73" s="116" t="s">
        <v>667</v>
      </c>
      <c r="F73" s="347">
        <v>24</v>
      </c>
    </row>
    <row r="74" spans="1:6" ht="21" x14ac:dyDescent="0.4">
      <c r="A74" s="823" t="s">
        <v>469</v>
      </c>
      <c r="B74" s="129" t="s">
        <v>667</v>
      </c>
      <c r="C74" s="347">
        <f>3*8</f>
        <v>24</v>
      </c>
      <c r="D74" s="823" t="s">
        <v>471</v>
      </c>
      <c r="E74" s="129" t="s">
        <v>667</v>
      </c>
      <c r="F74" s="347">
        <v>45</v>
      </c>
    </row>
    <row r="75" spans="1:6" ht="21" x14ac:dyDescent="0.4">
      <c r="A75" s="823" t="s">
        <v>433</v>
      </c>
      <c r="B75" s="129" t="s">
        <v>670</v>
      </c>
      <c r="C75" s="347">
        <f>(6*2+9*5+3)/2</f>
        <v>30</v>
      </c>
      <c r="D75" s="823" t="s">
        <v>433</v>
      </c>
      <c r="E75" s="129" t="s">
        <v>670</v>
      </c>
      <c r="F75" s="1051">
        <v>45</v>
      </c>
    </row>
    <row r="76" spans="1:6" ht="21" x14ac:dyDescent="0.4">
      <c r="A76" s="823" t="s">
        <v>437</v>
      </c>
      <c r="B76" s="129" t="s">
        <v>670</v>
      </c>
      <c r="C76" s="347">
        <f>(9*8+3*2)/2</f>
        <v>39</v>
      </c>
      <c r="D76" s="823" t="s">
        <v>434</v>
      </c>
      <c r="E76" s="129" t="s">
        <v>670</v>
      </c>
      <c r="F76" s="347">
        <v>22.5</v>
      </c>
    </row>
    <row r="77" spans="1:6" ht="21.6" thickBot="1" x14ac:dyDescent="0.45">
      <c r="A77" s="1059" t="s">
        <v>424</v>
      </c>
      <c r="B77" s="1057" t="s">
        <v>670</v>
      </c>
      <c r="C77" s="1058">
        <f>3*8/2</f>
        <v>12</v>
      </c>
      <c r="D77" s="1059" t="s">
        <v>427</v>
      </c>
      <c r="E77" s="1057" t="s">
        <v>670</v>
      </c>
      <c r="F77" s="1058">
        <v>13.5</v>
      </c>
    </row>
    <row r="78" spans="1:6" x14ac:dyDescent="0.25">
      <c r="A78" s="146" t="s">
        <v>472</v>
      </c>
      <c r="B78" s="807"/>
      <c r="C78" s="704">
        <f>SUM(C79:C86)</f>
        <v>241.5</v>
      </c>
      <c r="D78" s="1104"/>
      <c r="E78" s="807"/>
      <c r="F78" s="704">
        <f>SUM(F79:F86)</f>
        <v>171</v>
      </c>
    </row>
    <row r="79" spans="1:6" ht="21" x14ac:dyDescent="0.4">
      <c r="A79" s="823" t="s">
        <v>461</v>
      </c>
      <c r="B79" s="824" t="s">
        <v>667</v>
      </c>
      <c r="C79" s="347">
        <v>45</v>
      </c>
      <c r="D79" s="457" t="s">
        <v>474</v>
      </c>
      <c r="E79" s="116" t="s">
        <v>667</v>
      </c>
      <c r="F79" s="347">
        <v>45</v>
      </c>
    </row>
    <row r="80" spans="1:6" ht="21" x14ac:dyDescent="0.4">
      <c r="A80" s="823" t="s">
        <v>473</v>
      </c>
      <c r="B80" s="129" t="s">
        <v>667</v>
      </c>
      <c r="C80" s="347">
        <v>45</v>
      </c>
      <c r="D80" s="823" t="s">
        <v>475</v>
      </c>
      <c r="E80" s="129" t="s">
        <v>667</v>
      </c>
      <c r="F80" s="347">
        <v>45</v>
      </c>
    </row>
    <row r="81" spans="1:6" ht="21" x14ac:dyDescent="0.4">
      <c r="A81" s="823" t="s">
        <v>485</v>
      </c>
      <c r="B81" s="129" t="s">
        <v>667</v>
      </c>
      <c r="C81" s="347">
        <v>21</v>
      </c>
      <c r="D81" s="823" t="s">
        <v>433</v>
      </c>
      <c r="E81" s="129" t="s">
        <v>670</v>
      </c>
      <c r="F81" s="347">
        <v>28.5</v>
      </c>
    </row>
    <row r="82" spans="1:6" ht="21" x14ac:dyDescent="0.4">
      <c r="A82" s="823" t="s">
        <v>433</v>
      </c>
      <c r="B82" s="129" t="s">
        <v>670</v>
      </c>
      <c r="C82" s="347">
        <v>30</v>
      </c>
      <c r="D82" s="823" t="s">
        <v>434</v>
      </c>
      <c r="E82" s="129" t="s">
        <v>670</v>
      </c>
      <c r="F82" s="347">
        <v>30</v>
      </c>
    </row>
    <row r="83" spans="1:6" ht="21" x14ac:dyDescent="0.4">
      <c r="A83" s="823" t="s">
        <v>800</v>
      </c>
      <c r="B83" s="129" t="s">
        <v>670</v>
      </c>
      <c r="C83" s="347">
        <v>15</v>
      </c>
      <c r="D83" s="823" t="s">
        <v>428</v>
      </c>
      <c r="E83" s="129" t="s">
        <v>668</v>
      </c>
      <c r="F83" s="347">
        <v>22.5</v>
      </c>
    </row>
    <row r="84" spans="1:6" ht="21" x14ac:dyDescent="0.4">
      <c r="A84" s="823" t="s">
        <v>437</v>
      </c>
      <c r="B84" s="129" t="s">
        <v>670</v>
      </c>
      <c r="C84" s="347">
        <v>49.5</v>
      </c>
      <c r="D84" s="684"/>
      <c r="E84" s="69"/>
      <c r="F84" s="347"/>
    </row>
    <row r="85" spans="1:6" ht="21" x14ac:dyDescent="0.4">
      <c r="A85" s="823" t="s">
        <v>424</v>
      </c>
      <c r="B85" s="129" t="s">
        <v>670</v>
      </c>
      <c r="C85" s="347">
        <v>13.5</v>
      </c>
      <c r="D85" s="684"/>
      <c r="E85" s="69"/>
      <c r="F85" s="347"/>
    </row>
    <row r="86" spans="1:6" ht="21.6" thickBot="1" x14ac:dyDescent="0.45">
      <c r="A86" s="1059" t="s">
        <v>426</v>
      </c>
      <c r="B86" s="1057" t="s">
        <v>668</v>
      </c>
      <c r="C86" s="1058">
        <v>22.5</v>
      </c>
      <c r="D86" s="1112"/>
      <c r="E86" s="1113"/>
      <c r="F86" s="1058"/>
    </row>
    <row r="87" spans="1:6" ht="18" x14ac:dyDescent="0.25">
      <c r="A87" s="460" t="s">
        <v>320</v>
      </c>
      <c r="B87" s="1109"/>
      <c r="C87" s="1110">
        <f>C2+C6+C12+C16+C22+C28+C33+C37+C44+C47+C53+C60+C65+C72+C78</f>
        <v>1728</v>
      </c>
      <c r="D87" s="1111"/>
      <c r="E87" s="1109"/>
      <c r="F87" s="1110">
        <f>F2+F6+F12+F16+F22+F28+F33+F37+F44+F47+F53+F60+F65+F72+F78</f>
        <v>1670.625</v>
      </c>
    </row>
    <row r="88" spans="1:6" ht="18" x14ac:dyDescent="0.25">
      <c r="A88" s="266" t="s">
        <v>321</v>
      </c>
      <c r="B88" s="384"/>
      <c r="C88" s="813">
        <f>C87/(15*35)</f>
        <v>3.2914285714285714</v>
      </c>
      <c r="D88" s="814"/>
      <c r="E88" s="384"/>
      <c r="F88" s="813">
        <f>F87/(15*35)</f>
        <v>3.1821428571428569</v>
      </c>
    </row>
    <row r="89" spans="1:6" ht="18" x14ac:dyDescent="0.25">
      <c r="A89" s="266" t="s">
        <v>322</v>
      </c>
      <c r="B89" s="384"/>
      <c r="C89" s="815">
        <f>(C88+F88)/2</f>
        <v>3.2367857142857144</v>
      </c>
      <c r="D89" s="595"/>
      <c r="E89" s="384"/>
      <c r="F89" s="337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7"/>
  <sheetViews>
    <sheetView topLeftCell="A16" workbookViewId="0">
      <selection activeCell="F10" sqref="F10"/>
    </sheetView>
  </sheetViews>
  <sheetFormatPr defaultRowHeight="21" x14ac:dyDescent="0.4"/>
  <cols>
    <col min="1" max="1" width="16.09765625" style="121" customWidth="1"/>
    <col min="2" max="2" width="10.296875" style="70" bestFit="1" customWidth="1"/>
    <col min="3" max="3" width="10.296875" style="72" bestFit="1" customWidth="1"/>
    <col min="4" max="4" width="8.796875" style="72"/>
    <col min="5" max="5" width="8.796875" style="70"/>
    <col min="6" max="6" width="10.296875" style="72" bestFit="1" customWidth="1"/>
    <col min="7" max="16384" width="8.796875" style="72"/>
  </cols>
  <sheetData>
    <row r="1" spans="1:6" x14ac:dyDescent="0.4">
      <c r="C1" s="87" t="s">
        <v>512</v>
      </c>
      <c r="F1" s="87" t="s">
        <v>513</v>
      </c>
    </row>
    <row r="2" spans="1:6" x14ac:dyDescent="0.4">
      <c r="A2" s="499" t="s">
        <v>85</v>
      </c>
      <c r="B2" s="393"/>
      <c r="C2" s="94">
        <f>SUM(C3)</f>
        <v>45</v>
      </c>
      <c r="D2" s="74"/>
      <c r="E2" s="738"/>
      <c r="F2" s="94">
        <f>SUM(F3:F4)</f>
        <v>57</v>
      </c>
    </row>
    <row r="3" spans="1:6" x14ac:dyDescent="0.4">
      <c r="A3" s="126" t="s">
        <v>146</v>
      </c>
      <c r="B3" s="69" t="s">
        <v>3</v>
      </c>
      <c r="C3" s="87">
        <v>45</v>
      </c>
      <c r="D3" s="137" t="s">
        <v>153</v>
      </c>
      <c r="E3" s="71" t="s">
        <v>1</v>
      </c>
      <c r="F3" s="68">
        <v>12</v>
      </c>
    </row>
    <row r="4" spans="1:6" x14ac:dyDescent="0.4">
      <c r="A4" s="126"/>
      <c r="B4" s="69"/>
      <c r="C4" s="87"/>
      <c r="D4" s="137" t="s">
        <v>149</v>
      </c>
      <c r="E4" s="69" t="s">
        <v>3</v>
      </c>
      <c r="F4" s="87">
        <v>45</v>
      </c>
    </row>
    <row r="5" spans="1:6" x14ac:dyDescent="0.4">
      <c r="A5" s="499" t="s">
        <v>87</v>
      </c>
      <c r="B5" s="393"/>
      <c r="C5" s="94">
        <f>SUM(C6:C9)</f>
        <v>155.25</v>
      </c>
      <c r="D5" s="74"/>
      <c r="E5" s="738"/>
      <c r="F5" s="94">
        <f>SUM(F7:F9)</f>
        <v>101.25</v>
      </c>
    </row>
    <row r="6" spans="1:6" x14ac:dyDescent="0.4">
      <c r="A6" s="126" t="s">
        <v>152</v>
      </c>
      <c r="B6" s="69" t="s">
        <v>3</v>
      </c>
      <c r="C6" s="87">
        <v>45</v>
      </c>
      <c r="D6" s="129" t="s">
        <v>153</v>
      </c>
      <c r="E6" s="69" t="s">
        <v>1</v>
      </c>
      <c r="F6" s="87">
        <f>12/2</f>
        <v>6</v>
      </c>
    </row>
    <row r="7" spans="1:6" x14ac:dyDescent="0.4">
      <c r="A7" s="503" t="s">
        <v>642</v>
      </c>
      <c r="B7" s="69" t="s">
        <v>1</v>
      </c>
      <c r="C7" s="87">
        <v>9</v>
      </c>
      <c r="D7" s="129" t="s">
        <v>147</v>
      </c>
      <c r="E7" s="69" t="s">
        <v>3</v>
      </c>
      <c r="F7" s="87">
        <v>45</v>
      </c>
    </row>
    <row r="8" spans="1:6" x14ac:dyDescent="0.4">
      <c r="A8" s="503" t="s">
        <v>150</v>
      </c>
      <c r="B8" s="69" t="s">
        <v>3</v>
      </c>
      <c r="C8" s="87">
        <v>45</v>
      </c>
      <c r="D8" s="129" t="s">
        <v>151</v>
      </c>
      <c r="E8" s="69" t="s">
        <v>2</v>
      </c>
      <c r="F8" s="87">
        <v>56.25</v>
      </c>
    </row>
    <row r="9" spans="1:6" x14ac:dyDescent="0.4">
      <c r="A9" s="126" t="s">
        <v>148</v>
      </c>
      <c r="B9" s="69" t="s">
        <v>2</v>
      </c>
      <c r="C9" s="87">
        <v>56.25</v>
      </c>
      <c r="D9" s="87"/>
      <c r="E9" s="69"/>
      <c r="F9" s="87"/>
    </row>
    <row r="10" spans="1:6" x14ac:dyDescent="0.4">
      <c r="A10" s="507" t="s">
        <v>88</v>
      </c>
      <c r="B10" s="738"/>
      <c r="C10" s="94">
        <f>SUM(C11:C14)</f>
        <v>137.25</v>
      </c>
      <c r="D10" s="74"/>
      <c r="E10" s="738"/>
      <c r="F10" s="94">
        <f>SUM(F11:F13)</f>
        <v>45.75</v>
      </c>
    </row>
    <row r="11" spans="1:6" x14ac:dyDescent="0.4">
      <c r="A11" s="126" t="s">
        <v>154</v>
      </c>
      <c r="B11" s="69" t="s">
        <v>3</v>
      </c>
      <c r="C11" s="87">
        <v>45</v>
      </c>
      <c r="D11" s="122" t="s">
        <v>153</v>
      </c>
      <c r="E11" s="69" t="s">
        <v>1</v>
      </c>
      <c r="F11" s="87">
        <v>6</v>
      </c>
    </row>
    <row r="12" spans="1:6" x14ac:dyDescent="0.4">
      <c r="A12" s="126" t="s">
        <v>155</v>
      </c>
      <c r="B12" s="69" t="s">
        <v>3</v>
      </c>
      <c r="C12" s="87">
        <v>45</v>
      </c>
      <c r="D12" s="129" t="s">
        <v>151</v>
      </c>
      <c r="E12" s="69" t="s">
        <v>2</v>
      </c>
      <c r="F12" s="87">
        <v>33.75</v>
      </c>
    </row>
    <row r="13" spans="1:6" x14ac:dyDescent="0.4">
      <c r="A13" s="126" t="s">
        <v>642</v>
      </c>
      <c r="B13" s="69" t="s">
        <v>1</v>
      </c>
      <c r="C13" s="87">
        <v>13.5</v>
      </c>
      <c r="D13" s="122" t="s">
        <v>156</v>
      </c>
      <c r="E13" s="71" t="s">
        <v>3</v>
      </c>
      <c r="F13" s="68">
        <v>6</v>
      </c>
    </row>
    <row r="14" spans="1:6" x14ac:dyDescent="0.25">
      <c r="A14" s="509" t="s">
        <v>148</v>
      </c>
      <c r="B14" s="810" t="s">
        <v>2</v>
      </c>
      <c r="C14" s="312">
        <v>33.75</v>
      </c>
      <c r="D14" s="87"/>
      <c r="E14" s="69"/>
      <c r="F14" s="87"/>
    </row>
    <row r="15" spans="1:6" x14ac:dyDescent="0.4">
      <c r="A15" s="496" t="s">
        <v>104</v>
      </c>
      <c r="B15" s="738"/>
      <c r="C15" s="94">
        <f>SUM(C16)</f>
        <v>6</v>
      </c>
      <c r="D15" s="92"/>
      <c r="E15" s="738"/>
      <c r="F15" s="87"/>
    </row>
    <row r="16" spans="1:6" x14ac:dyDescent="0.4">
      <c r="A16" s="126" t="s">
        <v>157</v>
      </c>
      <c r="B16" s="536" t="s">
        <v>3</v>
      </c>
      <c r="C16" s="99">
        <v>6</v>
      </c>
      <c r="D16" s="85"/>
      <c r="E16" s="602"/>
      <c r="F16" s="101"/>
    </row>
    <row r="17" spans="1:6" hidden="1" x14ac:dyDescent="0.4">
      <c r="A17" s="106" t="s">
        <v>106</v>
      </c>
      <c r="B17" s="738"/>
      <c r="C17" s="87"/>
      <c r="D17" s="74"/>
      <c r="E17" s="738"/>
      <c r="F17" s="87"/>
    </row>
    <row r="18" spans="1:6" hidden="1" x14ac:dyDescent="0.4">
      <c r="A18" s="131"/>
      <c r="B18" s="536"/>
      <c r="C18" s="99"/>
      <c r="D18" s="122"/>
      <c r="E18" s="821"/>
      <c r="F18" s="98"/>
    </row>
    <row r="19" spans="1:6" hidden="1" x14ac:dyDescent="0.4">
      <c r="A19" s="131"/>
      <c r="B19" s="536"/>
      <c r="C19" s="99"/>
      <c r="D19" s="122"/>
      <c r="E19" s="536"/>
      <c r="F19" s="95"/>
    </row>
    <row r="20" spans="1:6" hidden="1" x14ac:dyDescent="0.4">
      <c r="A20" s="132"/>
      <c r="B20" s="536"/>
      <c r="C20" s="99"/>
      <c r="D20" s="129"/>
      <c r="E20" s="602"/>
      <c r="F20" s="101"/>
    </row>
    <row r="21" spans="1:6" hidden="1" x14ac:dyDescent="0.4">
      <c r="A21" s="106" t="s">
        <v>108</v>
      </c>
      <c r="B21" s="738"/>
      <c r="C21" s="87"/>
      <c r="D21" s="74"/>
      <c r="E21" s="738"/>
      <c r="F21" s="93"/>
    </row>
    <row r="22" spans="1:6" hidden="1" x14ac:dyDescent="0.4">
      <c r="A22" s="133"/>
      <c r="B22" s="828"/>
      <c r="C22" s="97"/>
      <c r="D22" s="122"/>
      <c r="E22" s="821"/>
      <c r="F22" s="98"/>
    </row>
    <row r="23" spans="1:6" ht="21" hidden="1" customHeight="1" x14ac:dyDescent="0.4">
      <c r="A23" s="134"/>
      <c r="B23" s="804"/>
      <c r="C23" s="99"/>
      <c r="D23" s="122"/>
      <c r="E23" s="536"/>
      <c r="F23" s="95"/>
    </row>
    <row r="24" spans="1:6" hidden="1" x14ac:dyDescent="0.4">
      <c r="A24" s="133"/>
      <c r="B24" s="804"/>
      <c r="C24" s="99"/>
      <c r="D24" s="122"/>
      <c r="E24" s="536"/>
      <c r="F24" s="95"/>
    </row>
    <row r="25" spans="1:6" hidden="1" x14ac:dyDescent="0.4">
      <c r="A25" s="134"/>
      <c r="B25" s="806"/>
      <c r="C25" s="86"/>
      <c r="D25" s="129"/>
      <c r="E25" s="602"/>
      <c r="F25" s="101"/>
    </row>
    <row r="26" spans="1:6" hidden="1" x14ac:dyDescent="0.4">
      <c r="A26" s="107" t="s">
        <v>111</v>
      </c>
      <c r="B26" s="738"/>
      <c r="C26" s="93"/>
      <c r="F26" s="87"/>
    </row>
    <row r="27" spans="1:6" hidden="1" x14ac:dyDescent="0.4">
      <c r="A27" s="108"/>
      <c r="B27" s="821"/>
      <c r="C27" s="98"/>
      <c r="D27" s="122"/>
      <c r="E27" s="821"/>
      <c r="F27" s="98"/>
    </row>
    <row r="28" spans="1:6" hidden="1" x14ac:dyDescent="0.4">
      <c r="A28" s="109"/>
      <c r="B28" s="536"/>
      <c r="C28" s="95"/>
      <c r="D28" s="122"/>
      <c r="E28" s="536"/>
      <c r="F28" s="95"/>
    </row>
    <row r="29" spans="1:6" hidden="1" x14ac:dyDescent="0.4">
      <c r="A29" s="109"/>
      <c r="B29" s="536"/>
      <c r="C29" s="95"/>
      <c r="D29" s="122"/>
      <c r="E29" s="536"/>
      <c r="F29" s="95"/>
    </row>
    <row r="30" spans="1:6" hidden="1" x14ac:dyDescent="0.4">
      <c r="A30" s="135"/>
      <c r="B30" s="602"/>
      <c r="C30" s="101"/>
      <c r="D30" s="129"/>
      <c r="E30" s="602"/>
      <c r="F30" s="101"/>
    </row>
    <row r="31" spans="1:6" x14ac:dyDescent="0.4">
      <c r="A31" s="499" t="s">
        <v>112</v>
      </c>
      <c r="B31" s="738"/>
      <c r="C31" s="111">
        <f>SUM(C32)</f>
        <v>15</v>
      </c>
      <c r="D31" s="92"/>
      <c r="E31" s="738"/>
      <c r="F31" s="87"/>
    </row>
    <row r="32" spans="1:6" x14ac:dyDescent="0.4">
      <c r="A32" s="126" t="s">
        <v>783</v>
      </c>
      <c r="B32" s="806" t="s">
        <v>3</v>
      </c>
      <c r="C32" s="86">
        <v>15</v>
      </c>
      <c r="D32" s="136"/>
      <c r="E32" s="806"/>
      <c r="F32" s="101"/>
    </row>
    <row r="33" spans="1:6" x14ac:dyDescent="0.4">
      <c r="A33" s="531" t="s">
        <v>115</v>
      </c>
      <c r="B33" s="821"/>
      <c r="C33" s="114">
        <f>SUM(C34:C35)</f>
        <v>65.25</v>
      </c>
      <c r="F33" s="114">
        <f>SUM(F34:F36)</f>
        <v>108.75</v>
      </c>
    </row>
    <row r="34" spans="1:6" x14ac:dyDescent="0.4">
      <c r="A34" s="126" t="s">
        <v>642</v>
      </c>
      <c r="B34" s="69" t="s">
        <v>1</v>
      </c>
      <c r="C34" s="87">
        <v>9</v>
      </c>
      <c r="D34" s="126" t="s">
        <v>153</v>
      </c>
      <c r="E34" s="69" t="s">
        <v>1</v>
      </c>
      <c r="F34" s="87">
        <v>7.5</v>
      </c>
    </row>
    <row r="35" spans="1:6" x14ac:dyDescent="0.4">
      <c r="A35" s="126" t="s">
        <v>148</v>
      </c>
      <c r="B35" s="69" t="s">
        <v>2</v>
      </c>
      <c r="C35" s="87">
        <v>56.25</v>
      </c>
      <c r="D35" s="126" t="s">
        <v>158</v>
      </c>
      <c r="E35" s="69" t="s">
        <v>3</v>
      </c>
      <c r="F35" s="87">
        <v>45</v>
      </c>
    </row>
    <row r="36" spans="1:6" x14ac:dyDescent="0.4">
      <c r="A36" s="126"/>
      <c r="B36" s="69"/>
      <c r="C36" s="87"/>
      <c r="D36" s="126" t="s">
        <v>151</v>
      </c>
      <c r="E36" s="69" t="s">
        <v>2</v>
      </c>
      <c r="F36" s="87">
        <v>56.25</v>
      </c>
    </row>
    <row r="37" spans="1:6" x14ac:dyDescent="0.4">
      <c r="A37" s="497" t="s">
        <v>116</v>
      </c>
      <c r="B37" s="738"/>
      <c r="C37" s="94">
        <f>SUM(C38:C41)</f>
        <v>78</v>
      </c>
      <c r="D37" s="346"/>
      <c r="E37" s="738"/>
      <c r="F37" s="94">
        <f>SUM(F38:F42)</f>
        <v>124.5</v>
      </c>
    </row>
    <row r="38" spans="1:6" x14ac:dyDescent="0.4">
      <c r="A38" s="126" t="s">
        <v>157</v>
      </c>
      <c r="B38" s="69" t="s">
        <v>3</v>
      </c>
      <c r="C38" s="87">
        <v>24</v>
      </c>
      <c r="D38" s="126" t="s">
        <v>161</v>
      </c>
      <c r="E38" s="69" t="s">
        <v>3</v>
      </c>
      <c r="F38" s="87">
        <v>30</v>
      </c>
    </row>
    <row r="39" spans="1:6" x14ac:dyDescent="0.4">
      <c r="A39" s="504" t="s">
        <v>642</v>
      </c>
      <c r="B39" s="69" t="s">
        <v>1</v>
      </c>
      <c r="C39" s="87">
        <v>9</v>
      </c>
      <c r="D39" s="126"/>
      <c r="E39" s="69" t="s">
        <v>1</v>
      </c>
      <c r="F39" s="87">
        <v>22.5</v>
      </c>
    </row>
    <row r="40" spans="1:6" x14ac:dyDescent="0.4">
      <c r="A40" s="126" t="s">
        <v>148</v>
      </c>
      <c r="B40" s="69" t="s">
        <v>2</v>
      </c>
      <c r="C40" s="87">
        <v>45</v>
      </c>
      <c r="D40" s="126" t="s">
        <v>153</v>
      </c>
      <c r="E40" s="69" t="s">
        <v>1</v>
      </c>
      <c r="F40" s="87">
        <v>6</v>
      </c>
    </row>
    <row r="41" spans="1:6" x14ac:dyDescent="0.4">
      <c r="A41" s="126"/>
      <c r="B41" s="69"/>
      <c r="C41" s="87"/>
      <c r="D41" s="126" t="s">
        <v>156</v>
      </c>
      <c r="E41" s="69" t="s">
        <v>3</v>
      </c>
      <c r="F41" s="87">
        <v>21</v>
      </c>
    </row>
    <row r="42" spans="1:6" x14ac:dyDescent="0.4">
      <c r="A42" s="106"/>
      <c r="B42" s="602"/>
      <c r="C42" s="86"/>
      <c r="D42" s="126" t="s">
        <v>151</v>
      </c>
      <c r="E42" s="69" t="s">
        <v>2</v>
      </c>
      <c r="F42" s="87">
        <v>45</v>
      </c>
    </row>
    <row r="43" spans="1:6" x14ac:dyDescent="0.4">
      <c r="A43" s="496" t="s">
        <v>90</v>
      </c>
      <c r="B43" s="602"/>
      <c r="C43" s="94">
        <f>SUM(C44)</f>
        <v>11.25</v>
      </c>
      <c r="D43" s="97"/>
      <c r="E43" s="738"/>
      <c r="F43" s="94">
        <f>SUM(F44)</f>
        <v>11.25</v>
      </c>
    </row>
    <row r="44" spans="1:6" x14ac:dyDescent="0.4">
      <c r="A44" s="137" t="s">
        <v>148</v>
      </c>
      <c r="B44" s="536" t="s">
        <v>2</v>
      </c>
      <c r="C44" s="99">
        <v>11.25</v>
      </c>
      <c r="D44" s="122" t="s">
        <v>151</v>
      </c>
      <c r="E44" s="828" t="s">
        <v>2</v>
      </c>
      <c r="F44" s="98">
        <v>11.25</v>
      </c>
    </row>
    <row r="45" spans="1:6" ht="18" x14ac:dyDescent="0.25">
      <c r="A45" s="276" t="s">
        <v>320</v>
      </c>
      <c r="B45" s="69"/>
      <c r="C45" s="94">
        <f>C2+C5+C10+C15+C31+C33+C37+C43</f>
        <v>513</v>
      </c>
      <c r="D45" s="74"/>
      <c r="E45" s="738"/>
      <c r="F45" s="94">
        <f>F2+F5+F10+F15+F31+F33+F37+F43</f>
        <v>448.5</v>
      </c>
    </row>
    <row r="46" spans="1:6" ht="18" x14ac:dyDescent="0.25">
      <c r="A46" s="266" t="s">
        <v>321</v>
      </c>
      <c r="B46" s="393"/>
      <c r="C46" s="522">
        <f>C45/(15*35)</f>
        <v>0.97714285714285709</v>
      </c>
      <c r="D46" s="74"/>
      <c r="E46" s="738"/>
      <c r="F46" s="522">
        <f>F45/(15*35)</f>
        <v>0.85428571428571431</v>
      </c>
    </row>
    <row r="47" spans="1:6" ht="18" x14ac:dyDescent="0.25">
      <c r="A47" s="266" t="s">
        <v>322</v>
      </c>
      <c r="B47" s="393"/>
      <c r="C47" s="522">
        <f>(C46+F46)/2</f>
        <v>0.9157142857142857</v>
      </c>
      <c r="D47" s="86"/>
      <c r="E47" s="602"/>
      <c r="F47" s="10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topLeftCell="A4" workbookViewId="0">
      <selection activeCell="F2" sqref="F2"/>
    </sheetView>
  </sheetViews>
  <sheetFormatPr defaultRowHeight="13.8" x14ac:dyDescent="0.25"/>
  <cols>
    <col min="1" max="1" width="23.69921875" bestFit="1" customWidth="1"/>
    <col min="2" max="2" width="8.796875" style="9"/>
    <col min="3" max="3" width="10.296875" bestFit="1" customWidth="1"/>
    <col min="5" max="5" width="8.796875" style="9"/>
    <col min="6" max="6" width="10.296875" bestFit="1" customWidth="1"/>
  </cols>
  <sheetData>
    <row r="1" spans="1:6" ht="21" x14ac:dyDescent="0.4">
      <c r="A1" s="121"/>
      <c r="B1" s="70"/>
      <c r="C1" s="87" t="s">
        <v>512</v>
      </c>
      <c r="D1" s="72"/>
      <c r="E1" s="70"/>
      <c r="F1" s="87" t="s">
        <v>513</v>
      </c>
    </row>
    <row r="2" spans="1:6" ht="21" x14ac:dyDescent="0.4">
      <c r="A2" s="496" t="s">
        <v>127</v>
      </c>
      <c r="B2" s="738"/>
      <c r="C2" s="94">
        <f>SUM(C3:C7)</f>
        <v>180</v>
      </c>
      <c r="D2" s="74"/>
      <c r="E2" s="738"/>
      <c r="F2" s="94">
        <f>SUM(F3:F9)</f>
        <v>199.5</v>
      </c>
    </row>
    <row r="3" spans="1:6" ht="21" x14ac:dyDescent="0.4">
      <c r="A3" s="503" t="s">
        <v>642</v>
      </c>
      <c r="B3" s="69" t="s">
        <v>3</v>
      </c>
      <c r="C3" s="87">
        <v>30</v>
      </c>
      <c r="D3" s="106" t="s">
        <v>656</v>
      </c>
      <c r="E3" s="69" t="s">
        <v>3</v>
      </c>
      <c r="F3" s="87">
        <v>15</v>
      </c>
    </row>
    <row r="4" spans="1:6" ht="21" x14ac:dyDescent="0.4">
      <c r="A4" s="503"/>
      <c r="B4" s="69" t="s">
        <v>1</v>
      </c>
      <c r="C4" s="87">
        <v>16.5</v>
      </c>
      <c r="D4" s="533" t="s">
        <v>657</v>
      </c>
      <c r="E4" s="69" t="s">
        <v>3</v>
      </c>
      <c r="F4" s="87">
        <v>30</v>
      </c>
    </row>
    <row r="5" spans="1:6" ht="21" x14ac:dyDescent="0.4">
      <c r="A5" s="503" t="s">
        <v>162</v>
      </c>
      <c r="B5" s="69" t="s">
        <v>3</v>
      </c>
      <c r="C5" s="87">
        <v>45</v>
      </c>
      <c r="D5" s="136"/>
      <c r="E5" s="69" t="s">
        <v>1</v>
      </c>
      <c r="F5" s="87">
        <v>18</v>
      </c>
    </row>
    <row r="6" spans="1:6" ht="21" x14ac:dyDescent="0.4">
      <c r="A6" s="503" t="s">
        <v>160</v>
      </c>
      <c r="B6" s="69" t="s">
        <v>3</v>
      </c>
      <c r="C6" s="87">
        <v>21</v>
      </c>
      <c r="D6" s="126" t="s">
        <v>153</v>
      </c>
      <c r="E6" s="69" t="s">
        <v>1</v>
      </c>
      <c r="F6" s="87">
        <v>12</v>
      </c>
    </row>
    <row r="7" spans="1:6" ht="21" x14ac:dyDescent="0.4">
      <c r="A7" s="503" t="s">
        <v>148</v>
      </c>
      <c r="B7" s="69" t="s">
        <v>2</v>
      </c>
      <c r="C7" s="87">
        <v>67.5</v>
      </c>
      <c r="D7" s="139" t="s">
        <v>163</v>
      </c>
      <c r="E7" s="69" t="s">
        <v>3</v>
      </c>
      <c r="F7" s="87">
        <v>45</v>
      </c>
    </row>
    <row r="8" spans="1:6" ht="21" x14ac:dyDescent="0.4">
      <c r="A8" s="524"/>
      <c r="B8" s="71"/>
      <c r="C8" s="68"/>
      <c r="D8" s="521" t="s">
        <v>156</v>
      </c>
      <c r="E8" s="69" t="s">
        <v>3</v>
      </c>
      <c r="F8" s="87">
        <v>12</v>
      </c>
    </row>
    <row r="9" spans="1:6" ht="21" x14ac:dyDescent="0.4">
      <c r="A9" s="110"/>
      <c r="B9" s="807"/>
      <c r="C9" s="101"/>
      <c r="D9" s="521" t="s">
        <v>151</v>
      </c>
      <c r="E9" s="69" t="s">
        <v>2</v>
      </c>
      <c r="F9" s="87">
        <v>67.5</v>
      </c>
    </row>
    <row r="10" spans="1:6" ht="21" x14ac:dyDescent="0.25">
      <c r="A10" s="532" t="s">
        <v>129</v>
      </c>
      <c r="B10" s="738"/>
      <c r="C10" s="93"/>
      <c r="D10" s="74"/>
      <c r="E10" s="393"/>
      <c r="F10" s="94">
        <v>15</v>
      </c>
    </row>
    <row r="11" spans="1:6" ht="21" x14ac:dyDescent="0.4">
      <c r="A11" s="106"/>
      <c r="B11" s="602"/>
      <c r="C11" s="86"/>
      <c r="D11" s="126" t="s">
        <v>659</v>
      </c>
      <c r="E11" s="602" t="s">
        <v>3</v>
      </c>
      <c r="F11" s="101">
        <v>15</v>
      </c>
    </row>
    <row r="12" spans="1:6" ht="21" x14ac:dyDescent="0.4">
      <c r="A12" s="499" t="s">
        <v>636</v>
      </c>
      <c r="B12" s="738"/>
      <c r="C12" s="94">
        <v>22.5</v>
      </c>
      <c r="D12" s="74"/>
      <c r="E12" s="393"/>
      <c r="F12" s="94"/>
    </row>
    <row r="13" spans="1:6" ht="21" x14ac:dyDescent="0.4">
      <c r="A13" s="126" t="s">
        <v>635</v>
      </c>
      <c r="B13" s="602" t="s">
        <v>1</v>
      </c>
      <c r="C13" s="86">
        <v>22.5</v>
      </c>
      <c r="D13" s="126"/>
      <c r="E13" s="602"/>
      <c r="F13" s="101"/>
    </row>
    <row r="14" spans="1:6" ht="21" x14ac:dyDescent="0.4">
      <c r="A14" s="499" t="s">
        <v>124</v>
      </c>
      <c r="B14" s="738"/>
      <c r="C14" s="94">
        <v>11.25</v>
      </c>
      <c r="D14" s="74"/>
      <c r="E14" s="393"/>
      <c r="F14" s="94">
        <f>SUM(F15)</f>
        <v>11.25</v>
      </c>
    </row>
    <row r="15" spans="1:6" ht="21" x14ac:dyDescent="0.4">
      <c r="A15" s="126" t="s">
        <v>640</v>
      </c>
      <c r="B15" s="602" t="s">
        <v>2</v>
      </c>
      <c r="C15" s="86">
        <v>11.25</v>
      </c>
      <c r="D15" s="843" t="s">
        <v>784</v>
      </c>
      <c r="E15" s="602" t="s">
        <v>2</v>
      </c>
      <c r="F15" s="101">
        <v>11.25</v>
      </c>
    </row>
    <row r="16" spans="1:6" ht="21" x14ac:dyDescent="0.25">
      <c r="A16" s="532" t="s">
        <v>660</v>
      </c>
      <c r="B16" s="738"/>
      <c r="C16" s="93"/>
      <c r="D16" s="74"/>
      <c r="E16" s="393"/>
      <c r="F16" s="94">
        <v>51</v>
      </c>
    </row>
    <row r="17" spans="1:6" ht="21" x14ac:dyDescent="0.4">
      <c r="A17" s="106"/>
      <c r="B17" s="602"/>
      <c r="C17" s="86"/>
      <c r="D17" s="126" t="s">
        <v>159</v>
      </c>
      <c r="E17" s="69" t="s">
        <v>3</v>
      </c>
      <c r="F17" s="101">
        <v>45</v>
      </c>
    </row>
    <row r="18" spans="1:6" ht="21" x14ac:dyDescent="0.4">
      <c r="A18" s="106"/>
      <c r="B18" s="602"/>
      <c r="C18" s="86"/>
      <c r="D18" s="126" t="s">
        <v>153</v>
      </c>
      <c r="E18" s="807" t="s">
        <v>1</v>
      </c>
      <c r="F18" s="101">
        <v>6</v>
      </c>
    </row>
    <row r="19" spans="1:6" ht="18" x14ac:dyDescent="0.25">
      <c r="A19" s="266" t="s">
        <v>320</v>
      </c>
      <c r="B19" s="393"/>
      <c r="C19" s="94">
        <f>C2+C10+C12+C14+C16</f>
        <v>213.75</v>
      </c>
      <c r="D19" s="72"/>
      <c r="E19" s="70"/>
      <c r="F19" s="94">
        <f>F2+F10+F12+F14+F16</f>
        <v>276.75</v>
      </c>
    </row>
    <row r="20" spans="1:6" ht="18" x14ac:dyDescent="0.25">
      <c r="A20" s="266" t="s">
        <v>321</v>
      </c>
      <c r="B20" s="393"/>
      <c r="C20" s="522">
        <v>0.34285714285714286</v>
      </c>
      <c r="D20" s="74"/>
      <c r="E20" s="738"/>
      <c r="F20" s="523">
        <v>0.40857142857142859</v>
      </c>
    </row>
    <row r="21" spans="1:6" ht="18" x14ac:dyDescent="0.25">
      <c r="A21" s="266" t="s">
        <v>322</v>
      </c>
      <c r="B21" s="393"/>
      <c r="C21" s="522">
        <v>0.37571428571428572</v>
      </c>
      <c r="D21" s="74"/>
      <c r="E21" s="738"/>
      <c r="F21" s="9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workbookViewId="0">
      <selection activeCell="J14" sqref="J14"/>
    </sheetView>
  </sheetViews>
  <sheetFormatPr defaultRowHeight="21" x14ac:dyDescent="0.4"/>
  <cols>
    <col min="1" max="1" width="23.09765625" style="121" customWidth="1"/>
    <col min="2" max="2" width="8.796875" style="70"/>
    <col min="3" max="3" width="10.09765625" style="72" customWidth="1"/>
    <col min="4" max="4" width="8.796875" style="72"/>
    <col min="5" max="5" width="8.796875" style="70"/>
    <col min="6" max="6" width="10.69921875" style="72" customWidth="1"/>
    <col min="7" max="16384" width="8.796875" style="72"/>
  </cols>
  <sheetData>
    <row r="1" spans="1:6" x14ac:dyDescent="0.4">
      <c r="C1" s="87" t="s">
        <v>512</v>
      </c>
      <c r="F1" s="87" t="s">
        <v>513</v>
      </c>
    </row>
    <row r="2" spans="1:6" x14ac:dyDescent="0.4">
      <c r="A2" s="499" t="s">
        <v>85</v>
      </c>
      <c r="B2" s="393"/>
      <c r="C2" s="94"/>
      <c r="D2" s="74"/>
      <c r="E2" s="738"/>
      <c r="F2" s="94">
        <f>SUM(F3)</f>
        <v>3</v>
      </c>
    </row>
    <row r="3" spans="1:6" x14ac:dyDescent="0.4">
      <c r="A3" s="106"/>
      <c r="B3" s="393"/>
      <c r="C3" s="68"/>
      <c r="D3" s="137" t="s">
        <v>652</v>
      </c>
      <c r="E3" s="71" t="s">
        <v>3</v>
      </c>
      <c r="F3" s="68">
        <v>3</v>
      </c>
    </row>
    <row r="4" spans="1:6" x14ac:dyDescent="0.4">
      <c r="A4" s="499" t="s">
        <v>87</v>
      </c>
      <c r="B4" s="393"/>
      <c r="C4" s="94">
        <f>SUM(C5)</f>
        <v>45</v>
      </c>
      <c r="D4" s="74"/>
      <c r="E4" s="738"/>
      <c r="F4" s="115">
        <f>SUM(F5:F6)</f>
        <v>51</v>
      </c>
    </row>
    <row r="5" spans="1:6" x14ac:dyDescent="0.4">
      <c r="A5" s="126" t="s">
        <v>645</v>
      </c>
      <c r="B5" s="812" t="s">
        <v>3</v>
      </c>
      <c r="C5" s="101">
        <v>45</v>
      </c>
      <c r="D5" s="128" t="s">
        <v>164</v>
      </c>
      <c r="E5" s="69" t="s">
        <v>3</v>
      </c>
      <c r="F5" s="101">
        <v>45</v>
      </c>
    </row>
    <row r="6" spans="1:6" x14ac:dyDescent="0.4">
      <c r="A6" s="92"/>
      <c r="B6" s="393"/>
      <c r="C6" s="115"/>
      <c r="D6" s="128" t="s">
        <v>165</v>
      </c>
      <c r="E6" s="69" t="s">
        <v>3</v>
      </c>
      <c r="F6" s="98">
        <v>6</v>
      </c>
    </row>
    <row r="7" spans="1:6" x14ac:dyDescent="0.4">
      <c r="A7" s="497" t="s">
        <v>88</v>
      </c>
      <c r="B7" s="393"/>
      <c r="C7" s="87"/>
      <c r="D7" s="346"/>
      <c r="E7" s="738"/>
      <c r="F7" s="94">
        <f>SUM(F8:F9)</f>
        <v>54</v>
      </c>
    </row>
    <row r="8" spans="1:6" x14ac:dyDescent="0.4">
      <c r="A8" s="92"/>
      <c r="B8" s="393"/>
      <c r="C8" s="142"/>
      <c r="D8" s="137" t="s">
        <v>167</v>
      </c>
      <c r="E8" s="69" t="s">
        <v>3</v>
      </c>
      <c r="F8" s="95">
        <v>45</v>
      </c>
    </row>
    <row r="9" spans="1:6" x14ac:dyDescent="0.4">
      <c r="A9" s="92"/>
      <c r="B9" s="812"/>
      <c r="C9" s="142"/>
      <c r="D9" s="137" t="s">
        <v>165</v>
      </c>
      <c r="E9" s="807" t="s">
        <v>3</v>
      </c>
      <c r="F9" s="98">
        <v>9</v>
      </c>
    </row>
    <row r="10" spans="1:6" x14ac:dyDescent="0.4">
      <c r="A10" s="506" t="s">
        <v>115</v>
      </c>
      <c r="B10" s="602"/>
      <c r="C10" s="146">
        <f>SUM(C11:C12)</f>
        <v>90</v>
      </c>
      <c r="D10" s="338"/>
      <c r="E10" s="393"/>
      <c r="F10" s="94">
        <f>SUM(F11:F12)</f>
        <v>6</v>
      </c>
    </row>
    <row r="11" spans="1:6" x14ac:dyDescent="0.4">
      <c r="A11" s="112" t="s">
        <v>644</v>
      </c>
      <c r="B11" s="71" t="s">
        <v>3</v>
      </c>
      <c r="C11" s="68">
        <v>45</v>
      </c>
      <c r="D11" s="126" t="s">
        <v>165</v>
      </c>
      <c r="E11" s="69" t="s">
        <v>3</v>
      </c>
      <c r="F11" s="87">
        <v>6</v>
      </c>
    </row>
    <row r="12" spans="1:6" x14ac:dyDescent="0.4">
      <c r="A12" s="112" t="s">
        <v>168</v>
      </c>
      <c r="B12" s="71" t="s">
        <v>3</v>
      </c>
      <c r="C12" s="68">
        <v>45</v>
      </c>
      <c r="D12" s="520"/>
      <c r="E12" s="69"/>
      <c r="F12" s="87"/>
    </row>
    <row r="13" spans="1:6" x14ac:dyDescent="0.4">
      <c r="A13" s="497" t="s">
        <v>116</v>
      </c>
      <c r="B13" s="738"/>
      <c r="C13" s="94">
        <f>SUM(C14:C16)</f>
        <v>69</v>
      </c>
      <c r="D13" s="74"/>
      <c r="E13" s="738"/>
      <c r="F13" s="94">
        <f>SUM(F14:F16)</f>
        <v>18</v>
      </c>
    </row>
    <row r="14" spans="1:6" x14ac:dyDescent="0.4">
      <c r="A14" s="126" t="s">
        <v>169</v>
      </c>
      <c r="B14" s="69" t="s">
        <v>3</v>
      </c>
      <c r="C14" s="87">
        <v>39</v>
      </c>
      <c r="D14" s="520" t="s">
        <v>661</v>
      </c>
      <c r="E14" s="69" t="s">
        <v>236</v>
      </c>
      <c r="F14" s="87">
        <v>15</v>
      </c>
    </row>
    <row r="15" spans="1:6" x14ac:dyDescent="0.4">
      <c r="A15" s="126" t="s">
        <v>170</v>
      </c>
      <c r="B15" s="69" t="s">
        <v>3</v>
      </c>
      <c r="C15" s="87">
        <v>15</v>
      </c>
      <c r="D15" s="520" t="s">
        <v>165</v>
      </c>
      <c r="E15" s="69" t="s">
        <v>3</v>
      </c>
      <c r="F15" s="87">
        <v>3</v>
      </c>
    </row>
    <row r="16" spans="1:6" x14ac:dyDescent="0.4">
      <c r="A16" s="126" t="s">
        <v>643</v>
      </c>
      <c r="B16" s="69" t="s">
        <v>236</v>
      </c>
      <c r="C16" s="87">
        <v>15</v>
      </c>
      <c r="D16" s="520"/>
      <c r="E16" s="69"/>
      <c r="F16" s="87"/>
    </row>
    <row r="17" spans="1:6" x14ac:dyDescent="0.25">
      <c r="A17" s="544" t="s">
        <v>305</v>
      </c>
      <c r="B17" s="69"/>
      <c r="C17" s="87"/>
      <c r="D17" s="457"/>
      <c r="E17" s="116"/>
      <c r="F17" s="746">
        <f>SUM(F18)</f>
        <v>3</v>
      </c>
    </row>
    <row r="18" spans="1:6" x14ac:dyDescent="0.4">
      <c r="A18" s="130"/>
      <c r="B18" s="806"/>
      <c r="C18" s="86"/>
      <c r="D18" s="680" t="s">
        <v>753</v>
      </c>
      <c r="E18" s="830" t="s">
        <v>3</v>
      </c>
      <c r="F18" s="745">
        <v>3</v>
      </c>
    </row>
    <row r="19" spans="1:6" ht="18" x14ac:dyDescent="0.25">
      <c r="A19" s="276" t="s">
        <v>320</v>
      </c>
      <c r="B19" s="805"/>
      <c r="C19" s="94">
        <f>C2+C4+C7+C10+C13</f>
        <v>204</v>
      </c>
      <c r="D19" s="74"/>
      <c r="E19" s="738"/>
      <c r="F19" s="94">
        <f>F2+F4+F7+F10+F13</f>
        <v>132</v>
      </c>
    </row>
    <row r="20" spans="1:6" ht="18" x14ac:dyDescent="0.25">
      <c r="A20" s="266" t="s">
        <v>321</v>
      </c>
      <c r="B20" s="805"/>
      <c r="C20" s="522">
        <f>C19/(15*35)</f>
        <v>0.38857142857142857</v>
      </c>
      <c r="D20" s="74"/>
      <c r="E20" s="738"/>
      <c r="F20" s="523">
        <f>F19/(15*35)</f>
        <v>0.25142857142857145</v>
      </c>
    </row>
    <row r="21" spans="1:6" ht="18" x14ac:dyDescent="0.25">
      <c r="A21" s="266" t="s">
        <v>322</v>
      </c>
      <c r="B21" s="805"/>
      <c r="C21" s="522">
        <f>(C20+F20)/2</f>
        <v>0.32</v>
      </c>
      <c r="D21" s="74"/>
      <c r="E21" s="738"/>
      <c r="F21" s="9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workbookViewId="0">
      <selection activeCell="J4" sqref="J4"/>
    </sheetView>
  </sheetViews>
  <sheetFormatPr defaultRowHeight="21" x14ac:dyDescent="0.4"/>
  <cols>
    <col min="1" max="1" width="16.09765625" style="121" customWidth="1"/>
    <col min="2" max="2" width="10.296875" style="72" bestFit="1" customWidth="1"/>
    <col min="3" max="4" width="10.59765625" style="72" customWidth="1"/>
    <col min="5" max="5" width="8.796875" style="72"/>
    <col min="6" max="6" width="10.296875" style="72" bestFit="1" customWidth="1"/>
    <col min="7" max="16384" width="8.796875" style="72"/>
  </cols>
  <sheetData>
    <row r="1" spans="1:6" x14ac:dyDescent="0.4">
      <c r="C1" s="87" t="s">
        <v>512</v>
      </c>
      <c r="F1" s="87" t="s">
        <v>513</v>
      </c>
    </row>
    <row r="2" spans="1:6" x14ac:dyDescent="0.4">
      <c r="A2" s="505" t="s">
        <v>127</v>
      </c>
      <c r="B2" s="74"/>
      <c r="C2" s="94">
        <f>SUM(C3:C4)</f>
        <v>12</v>
      </c>
      <c r="D2" s="74"/>
      <c r="E2" s="74"/>
      <c r="F2" s="94">
        <f>SUM(F3:F4)</f>
        <v>48</v>
      </c>
    </row>
    <row r="3" spans="1:6" x14ac:dyDescent="0.4">
      <c r="A3" s="503" t="s">
        <v>170</v>
      </c>
      <c r="B3" s="87" t="s">
        <v>3</v>
      </c>
      <c r="C3" s="87">
        <v>6</v>
      </c>
      <c r="D3" s="508" t="s">
        <v>658</v>
      </c>
      <c r="E3" s="87" t="s">
        <v>3</v>
      </c>
      <c r="F3" s="87">
        <v>45</v>
      </c>
    </row>
    <row r="4" spans="1:6" x14ac:dyDescent="0.4">
      <c r="A4" s="503" t="s">
        <v>169</v>
      </c>
      <c r="B4" s="87" t="s">
        <v>3</v>
      </c>
      <c r="C4" s="87">
        <v>6</v>
      </c>
      <c r="D4" s="126" t="s">
        <v>165</v>
      </c>
      <c r="E4" s="87" t="s">
        <v>3</v>
      </c>
      <c r="F4" s="87">
        <v>3</v>
      </c>
    </row>
    <row r="5" spans="1:6" x14ac:dyDescent="0.25">
      <c r="A5" s="532" t="s">
        <v>660</v>
      </c>
      <c r="B5" s="74"/>
      <c r="C5" s="87"/>
      <c r="D5" s="74"/>
      <c r="E5" s="93"/>
      <c r="F5" s="94">
        <f>SUM(F6:F7)</f>
        <v>54</v>
      </c>
    </row>
    <row r="6" spans="1:6" x14ac:dyDescent="0.4">
      <c r="A6" s="106"/>
      <c r="B6" s="86"/>
      <c r="C6" s="86"/>
      <c r="D6" s="126" t="s">
        <v>166</v>
      </c>
      <c r="E6" s="87" t="s">
        <v>236</v>
      </c>
      <c r="F6" s="101">
        <v>45</v>
      </c>
    </row>
    <row r="7" spans="1:6" x14ac:dyDescent="0.4">
      <c r="A7" s="106"/>
      <c r="B7" s="86"/>
      <c r="C7" s="86"/>
      <c r="D7" s="126" t="s">
        <v>165</v>
      </c>
      <c r="E7" s="85" t="s">
        <v>1</v>
      </c>
      <c r="F7" s="101">
        <v>9</v>
      </c>
    </row>
    <row r="8" spans="1:6" ht="18" x14ac:dyDescent="0.25">
      <c r="A8" s="460" t="s">
        <v>320</v>
      </c>
      <c r="B8" s="85"/>
      <c r="C8" s="146">
        <f>C2+C5</f>
        <v>12</v>
      </c>
      <c r="F8" s="146">
        <f>F2+F5</f>
        <v>102</v>
      </c>
    </row>
    <row r="9" spans="1:6" ht="18" x14ac:dyDescent="0.25">
      <c r="A9" s="266" t="s">
        <v>321</v>
      </c>
      <c r="B9" s="93"/>
      <c r="C9" s="534">
        <f>C8/(15*35)</f>
        <v>2.2857142857142857E-2</v>
      </c>
      <c r="D9" s="92"/>
      <c r="E9" s="74"/>
      <c r="F9" s="523">
        <f>F8/(15*35)</f>
        <v>0.19428571428571428</v>
      </c>
    </row>
    <row r="10" spans="1:6" ht="18" x14ac:dyDescent="0.25">
      <c r="A10" s="266" t="s">
        <v>322</v>
      </c>
      <c r="B10" s="93"/>
      <c r="C10" s="535">
        <f>(C9+F9)/2</f>
        <v>0.10857142857142857</v>
      </c>
      <c r="D10" s="92"/>
      <c r="E10" s="74"/>
      <c r="F10" s="93"/>
    </row>
    <row r="11" spans="1:6" ht="13.8" x14ac:dyDescent="0.25">
      <c r="A11" s="72"/>
    </row>
    <row r="12" spans="1:6" ht="13.8" x14ac:dyDescent="0.25">
      <c r="A12" s="72"/>
    </row>
    <row r="13" spans="1:6" ht="13.8" x14ac:dyDescent="0.25">
      <c r="A13" s="72"/>
    </row>
    <row r="14" spans="1:6" ht="13.8" x14ac:dyDescent="0.25">
      <c r="A14" s="72"/>
    </row>
    <row r="15" spans="1:6" ht="13.8" x14ac:dyDescent="0.25">
      <c r="A15" s="72"/>
    </row>
    <row r="16" spans="1:6" ht="13.8" x14ac:dyDescent="0.25">
      <c r="A16" s="72"/>
    </row>
    <row r="17" spans="1:1" ht="13.8" x14ac:dyDescent="0.25">
      <c r="A17" s="72"/>
    </row>
    <row r="18" spans="1:1" ht="13.8" x14ac:dyDescent="0.25">
      <c r="A18" s="72"/>
    </row>
    <row r="19" spans="1:1" ht="13.8" x14ac:dyDescent="0.25">
      <c r="A19" s="72"/>
    </row>
    <row r="20" spans="1:1" ht="13.8" x14ac:dyDescent="0.25">
      <c r="A20" s="72"/>
    </row>
    <row r="21" spans="1:1" ht="13.8" x14ac:dyDescent="0.25">
      <c r="A21" s="72"/>
    </row>
    <row r="22" spans="1:1" ht="13.8" x14ac:dyDescent="0.25">
      <c r="A22" s="72"/>
    </row>
    <row r="23" spans="1:1" ht="13.8" x14ac:dyDescent="0.25">
      <c r="A23" s="72"/>
    </row>
    <row r="24" spans="1:1" ht="13.8" x14ac:dyDescent="0.25">
      <c r="A24" s="72"/>
    </row>
    <row r="25" spans="1:1" ht="13.8" x14ac:dyDescent="0.25">
      <c r="A25" s="72"/>
    </row>
    <row r="26" spans="1:1" ht="13.8" x14ac:dyDescent="0.25">
      <c r="A26" s="72"/>
    </row>
    <row r="27" spans="1:1" ht="13.8" x14ac:dyDescent="0.25">
      <c r="A27" s="72"/>
    </row>
    <row r="28" spans="1:1" ht="13.8" x14ac:dyDescent="0.25">
      <c r="A28" s="72"/>
    </row>
    <row r="29" spans="1:1" ht="13.8" x14ac:dyDescent="0.25">
      <c r="A29" s="72"/>
    </row>
    <row r="30" spans="1:1" ht="13.8" x14ac:dyDescent="0.25">
      <c r="A30" s="72"/>
    </row>
    <row r="31" spans="1:1" ht="13.8" x14ac:dyDescent="0.25">
      <c r="A31" s="72"/>
    </row>
    <row r="32" spans="1:1" ht="13.8" x14ac:dyDescent="0.25">
      <c r="A32" s="72"/>
    </row>
    <row r="33" spans="1:1" ht="13.8" x14ac:dyDescent="0.25">
      <c r="A33" s="72"/>
    </row>
    <row r="34" spans="1:1" ht="13.8" x14ac:dyDescent="0.25">
      <c r="A34" s="72"/>
    </row>
    <row r="35" spans="1:1" ht="13.8" x14ac:dyDescent="0.25">
      <c r="A35" s="72"/>
    </row>
    <row r="36" spans="1:1" ht="13.8" x14ac:dyDescent="0.25">
      <c r="A36" s="72"/>
    </row>
    <row r="37" spans="1:1" ht="13.8" x14ac:dyDescent="0.25">
      <c r="A37" s="72"/>
    </row>
    <row r="38" spans="1:1" ht="13.8" x14ac:dyDescent="0.25">
      <c r="A38" s="72"/>
    </row>
    <row r="39" spans="1:1" ht="13.8" x14ac:dyDescent="0.25">
      <c r="A39" s="72"/>
    </row>
    <row r="40" spans="1:1" ht="13.8" x14ac:dyDescent="0.25">
      <c r="A40" s="72"/>
    </row>
    <row r="41" spans="1:1" ht="13.8" x14ac:dyDescent="0.25">
      <c r="A41" s="72"/>
    </row>
    <row r="42" spans="1:1" ht="13.8" x14ac:dyDescent="0.25">
      <c r="A42" s="72"/>
    </row>
    <row r="43" spans="1:1" ht="13.8" x14ac:dyDescent="0.25">
      <c r="A43" s="72"/>
    </row>
    <row r="44" spans="1:1" ht="13.8" x14ac:dyDescent="0.25">
      <c r="A44" s="72"/>
    </row>
    <row r="45" spans="1:1" ht="13.8" x14ac:dyDescent="0.25">
      <c r="A45" s="72"/>
    </row>
    <row r="46" spans="1:1" ht="13.8" x14ac:dyDescent="0.25">
      <c r="A46" s="72"/>
    </row>
    <row r="47" spans="1:1" ht="13.8" x14ac:dyDescent="0.25">
      <c r="A47" s="72"/>
    </row>
    <row r="48" spans="1:1" ht="13.8" x14ac:dyDescent="0.25">
      <c r="A48" s="72"/>
    </row>
    <row r="55" spans="1:1" ht="13.8" x14ac:dyDescent="0.25">
      <c r="A55" s="72"/>
    </row>
    <row r="56" spans="1:1" ht="13.8" x14ac:dyDescent="0.25">
      <c r="A56" s="72"/>
    </row>
    <row r="57" spans="1:1" ht="13.8" x14ac:dyDescent="0.25">
      <c r="A57" s="72"/>
    </row>
    <row r="58" spans="1:1" ht="13.8" x14ac:dyDescent="0.25">
      <c r="A58" s="72"/>
    </row>
    <row r="59" spans="1:1" ht="13.8" x14ac:dyDescent="0.25">
      <c r="A59" s="72"/>
    </row>
    <row r="60" spans="1:1" ht="13.8" x14ac:dyDescent="0.25">
      <c r="A60" s="7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54"/>
  <sheetViews>
    <sheetView workbookViewId="0">
      <selection activeCell="J7" sqref="J7"/>
    </sheetView>
  </sheetViews>
  <sheetFormatPr defaultRowHeight="13.8" x14ac:dyDescent="0.25"/>
  <cols>
    <col min="1" max="1" width="17.8984375" style="72" customWidth="1"/>
    <col min="2" max="2" width="8.796875" style="72"/>
    <col min="3" max="3" width="9.8984375" style="549" customWidth="1"/>
    <col min="4" max="4" width="14.8984375" style="72" bestFit="1" customWidth="1"/>
    <col min="5" max="5" width="8.796875" style="72"/>
    <col min="6" max="6" width="10.296875" style="72" bestFit="1" customWidth="1"/>
    <col min="7" max="16384" width="8.796875" style="72"/>
  </cols>
  <sheetData>
    <row r="1" spans="1:6" x14ac:dyDescent="0.25">
      <c r="A1" s="536"/>
      <c r="B1" s="536"/>
      <c r="C1" s="71" t="s">
        <v>512</v>
      </c>
      <c r="F1" s="71" t="s">
        <v>513</v>
      </c>
    </row>
    <row r="2" spans="1:6" ht="20.399999999999999" x14ac:dyDescent="0.25">
      <c r="A2" s="620" t="s">
        <v>311</v>
      </c>
      <c r="B2" s="74"/>
      <c r="C2" s="286">
        <f>SUM(C3:C3)</f>
        <v>21</v>
      </c>
      <c r="D2" s="74"/>
      <c r="E2" s="74"/>
      <c r="F2" s="286">
        <f>SUM(F3)</f>
        <v>21</v>
      </c>
    </row>
    <row r="3" spans="1:6" x14ac:dyDescent="0.25">
      <c r="A3" s="229" t="s">
        <v>662</v>
      </c>
      <c r="B3" s="537" t="s">
        <v>3</v>
      </c>
      <c r="C3" s="538">
        <v>21</v>
      </c>
      <c r="D3" s="539" t="s">
        <v>731</v>
      </c>
      <c r="E3" s="253" t="s">
        <v>3</v>
      </c>
      <c r="F3" s="540">
        <v>21</v>
      </c>
    </row>
    <row r="4" spans="1:6" ht="20.399999999999999" x14ac:dyDescent="0.25">
      <c r="A4" s="620" t="s">
        <v>302</v>
      </c>
      <c r="B4" s="74"/>
      <c r="C4" s="286">
        <f>SUM(C5:C6)</f>
        <v>67.5</v>
      </c>
      <c r="D4" s="74"/>
      <c r="E4" s="74"/>
      <c r="F4" s="286">
        <f>SUM(F5:F7)</f>
        <v>135</v>
      </c>
    </row>
    <row r="5" spans="1:6" ht="21" x14ac:dyDescent="0.4">
      <c r="A5" s="755" t="s">
        <v>303</v>
      </c>
      <c r="B5" s="756" t="s">
        <v>3</v>
      </c>
      <c r="C5" s="726">
        <v>45</v>
      </c>
      <c r="D5" s="757" t="s">
        <v>761</v>
      </c>
      <c r="E5" s="660" t="s">
        <v>667</v>
      </c>
      <c r="F5" s="677">
        <v>45</v>
      </c>
    </row>
    <row r="6" spans="1:6" ht="21" x14ac:dyDescent="0.4">
      <c r="A6" s="87" t="s">
        <v>304</v>
      </c>
      <c r="B6" s="756" t="s">
        <v>2</v>
      </c>
      <c r="C6" s="347">
        <v>22.5</v>
      </c>
      <c r="D6" s="757" t="s">
        <v>762</v>
      </c>
      <c r="E6" s="660" t="s">
        <v>670</v>
      </c>
      <c r="F6" s="677">
        <v>67.5</v>
      </c>
    </row>
    <row r="7" spans="1:6" ht="21" x14ac:dyDescent="0.4">
      <c r="A7" s="87"/>
      <c r="B7" s="706"/>
      <c r="C7" s="347"/>
      <c r="D7" s="757" t="s">
        <v>696</v>
      </c>
      <c r="E7" s="660" t="s">
        <v>668</v>
      </c>
      <c r="F7" s="677">
        <v>22.5</v>
      </c>
    </row>
    <row r="8" spans="1:6" ht="18" x14ac:dyDescent="0.25">
      <c r="A8" s="276" t="s">
        <v>306</v>
      </c>
      <c r="B8" s="552"/>
      <c r="C8" s="731">
        <f>SUM(C9:C12)</f>
        <v>111</v>
      </c>
      <c r="D8" s="551"/>
      <c r="E8" s="554"/>
      <c r="F8" s="731">
        <f>SUM(F9:F12)</f>
        <v>133.5</v>
      </c>
    </row>
    <row r="9" spans="1:6" ht="21" x14ac:dyDescent="0.4">
      <c r="A9" s="764" t="s">
        <v>694</v>
      </c>
      <c r="B9" s="555" t="s">
        <v>3</v>
      </c>
      <c r="C9" s="556">
        <f>3*15</f>
        <v>45</v>
      </c>
      <c r="D9" s="457" t="s">
        <v>694</v>
      </c>
      <c r="E9" s="129" t="s">
        <v>667</v>
      </c>
      <c r="F9" s="540">
        <v>21</v>
      </c>
    </row>
    <row r="10" spans="1:6" ht="21" x14ac:dyDescent="0.4">
      <c r="A10" s="705" t="s">
        <v>695</v>
      </c>
      <c r="B10" s="706" t="s">
        <v>3</v>
      </c>
      <c r="C10" s="585">
        <f>3*7</f>
        <v>21</v>
      </c>
      <c r="D10" s="680" t="s">
        <v>695</v>
      </c>
      <c r="E10" s="129" t="s">
        <v>667</v>
      </c>
      <c r="F10" s="577">
        <v>45</v>
      </c>
    </row>
    <row r="11" spans="1:6" ht="21" x14ac:dyDescent="0.4">
      <c r="A11" s="705" t="s">
        <v>696</v>
      </c>
      <c r="B11" s="706" t="s">
        <v>2</v>
      </c>
      <c r="C11" s="585">
        <f>4*15*0.75</f>
        <v>45</v>
      </c>
      <c r="D11" s="680" t="s">
        <v>768</v>
      </c>
      <c r="E11" s="129" t="s">
        <v>667</v>
      </c>
      <c r="F11" s="577">
        <v>45</v>
      </c>
    </row>
    <row r="12" spans="1:6" ht="21" x14ac:dyDescent="0.4">
      <c r="A12" s="551"/>
      <c r="B12" s="706"/>
      <c r="C12" s="585"/>
      <c r="D12" s="680" t="s">
        <v>735</v>
      </c>
      <c r="E12" s="129" t="s">
        <v>668</v>
      </c>
      <c r="F12" s="577">
        <v>22.5</v>
      </c>
    </row>
    <row r="13" spans="1:6" x14ac:dyDescent="0.25">
      <c r="A13" s="544" t="s">
        <v>305</v>
      </c>
      <c r="B13" s="545"/>
      <c r="C13" s="654">
        <f>SUM(C14:C17)</f>
        <v>94.5</v>
      </c>
      <c r="D13" s="545"/>
      <c r="E13" s="545"/>
      <c r="F13" s="94">
        <f>SUM(F14:F17)</f>
        <v>86</v>
      </c>
    </row>
    <row r="14" spans="1:6" ht="21" x14ac:dyDescent="0.25">
      <c r="A14" s="594" t="s">
        <v>698</v>
      </c>
      <c r="B14" s="116" t="s">
        <v>667</v>
      </c>
      <c r="C14" s="747">
        <v>45</v>
      </c>
      <c r="D14" s="457" t="s">
        <v>755</v>
      </c>
      <c r="E14" s="116" t="s">
        <v>667</v>
      </c>
      <c r="F14" s="542">
        <v>45</v>
      </c>
    </row>
    <row r="15" spans="1:6" ht="21" x14ac:dyDescent="0.25">
      <c r="A15" s="594" t="s">
        <v>699</v>
      </c>
      <c r="B15" s="703" t="s">
        <v>667</v>
      </c>
      <c r="C15" s="748">
        <v>24</v>
      </c>
      <c r="D15" s="457" t="s">
        <v>699</v>
      </c>
      <c r="E15" s="116" t="s">
        <v>667</v>
      </c>
      <c r="F15" s="540">
        <v>24</v>
      </c>
    </row>
    <row r="16" spans="1:6" ht="21" x14ac:dyDescent="0.4">
      <c r="A16" s="656" t="s">
        <v>700</v>
      </c>
      <c r="B16" s="120" t="s">
        <v>667</v>
      </c>
      <c r="C16" s="743">
        <v>3</v>
      </c>
      <c r="D16" s="680" t="s">
        <v>754</v>
      </c>
      <c r="E16" s="141" t="s">
        <v>667</v>
      </c>
      <c r="F16" s="577">
        <v>6</v>
      </c>
    </row>
    <row r="17" spans="1:6" ht="21" x14ac:dyDescent="0.4">
      <c r="A17" s="653" t="s">
        <v>701</v>
      </c>
      <c r="B17" s="141" t="s">
        <v>702</v>
      </c>
      <c r="C17" s="585">
        <v>22.5</v>
      </c>
      <c r="D17" s="749" t="s">
        <v>734</v>
      </c>
      <c r="E17" s="141" t="s">
        <v>667</v>
      </c>
      <c r="F17" s="577">
        <v>11</v>
      </c>
    </row>
    <row r="18" spans="1:6" x14ac:dyDescent="0.25">
      <c r="A18" s="92" t="s">
        <v>315</v>
      </c>
      <c r="B18" s="87"/>
      <c r="C18" s="704">
        <f>SUM(C19:C21)</f>
        <v>69</v>
      </c>
      <c r="D18" s="85"/>
      <c r="E18" s="85"/>
      <c r="F18" s="702">
        <f>SUM(F19:F24)</f>
        <v>291</v>
      </c>
    </row>
    <row r="19" spans="1:6" ht="21" x14ac:dyDescent="0.4">
      <c r="A19" s="457" t="s">
        <v>707</v>
      </c>
      <c r="B19" s="116" t="s">
        <v>667</v>
      </c>
      <c r="C19" s="347">
        <v>21</v>
      </c>
      <c r="D19" s="680" t="s">
        <v>738</v>
      </c>
      <c r="E19" s="141" t="s">
        <v>667</v>
      </c>
      <c r="F19" s="540">
        <v>30</v>
      </c>
    </row>
    <row r="20" spans="1:6" ht="21" x14ac:dyDescent="0.4">
      <c r="A20" s="705" t="s">
        <v>700</v>
      </c>
      <c r="B20" s="116" t="s">
        <v>667</v>
      </c>
      <c r="C20" s="347">
        <v>24</v>
      </c>
      <c r="D20" s="680" t="s">
        <v>733</v>
      </c>
      <c r="E20" s="141" t="s">
        <v>667</v>
      </c>
      <c r="F20" s="677">
        <v>42</v>
      </c>
    </row>
    <row r="21" spans="1:6" ht="21" x14ac:dyDescent="0.4">
      <c r="A21" s="457" t="s">
        <v>696</v>
      </c>
      <c r="B21" s="129" t="s">
        <v>668</v>
      </c>
      <c r="C21" s="347">
        <v>24</v>
      </c>
      <c r="D21" s="680" t="s">
        <v>739</v>
      </c>
      <c r="E21" s="141" t="s">
        <v>667</v>
      </c>
      <c r="F21" s="677">
        <v>84</v>
      </c>
    </row>
    <row r="22" spans="1:6" ht="21" x14ac:dyDescent="0.4">
      <c r="A22" s="551"/>
      <c r="B22" s="706"/>
      <c r="C22" s="347"/>
      <c r="D22" s="680" t="s">
        <v>707</v>
      </c>
      <c r="E22" s="141" t="s">
        <v>667</v>
      </c>
      <c r="F22" s="677">
        <v>45</v>
      </c>
    </row>
    <row r="23" spans="1:6" ht="21" x14ac:dyDescent="0.4">
      <c r="A23" s="551"/>
      <c r="B23" s="706"/>
      <c r="C23" s="347"/>
      <c r="D23" s="680" t="s">
        <v>740</v>
      </c>
      <c r="E23" s="141" t="s">
        <v>667</v>
      </c>
      <c r="F23" s="677">
        <v>45</v>
      </c>
    </row>
    <row r="24" spans="1:6" ht="21" x14ac:dyDescent="0.4">
      <c r="A24" s="551"/>
      <c r="B24" s="706"/>
      <c r="C24" s="347"/>
      <c r="D24" s="680" t="s">
        <v>735</v>
      </c>
      <c r="E24" s="129" t="s">
        <v>668</v>
      </c>
      <c r="F24" s="543">
        <v>45</v>
      </c>
    </row>
    <row r="25" spans="1:6" x14ac:dyDescent="0.25">
      <c r="A25" s="571" t="s">
        <v>313</v>
      </c>
      <c r="B25" s="544"/>
      <c r="C25" s="652">
        <f>SUM(C26:C27)</f>
        <v>69</v>
      </c>
      <c r="D25" s="571"/>
      <c r="E25" s="544"/>
      <c r="F25" s="363">
        <f>SUM(F26:F29)</f>
        <v>153</v>
      </c>
    </row>
    <row r="26" spans="1:6" ht="21" x14ac:dyDescent="0.4">
      <c r="A26" s="551" t="s">
        <v>314</v>
      </c>
      <c r="B26" s="741" t="s">
        <v>667</v>
      </c>
      <c r="C26" s="347">
        <v>24</v>
      </c>
      <c r="D26" s="457" t="s">
        <v>745</v>
      </c>
      <c r="E26" s="129" t="s">
        <v>667</v>
      </c>
      <c r="F26" s="677">
        <v>45</v>
      </c>
    </row>
    <row r="27" spans="1:6" ht="21" x14ac:dyDescent="0.4">
      <c r="A27" s="551" t="s">
        <v>304</v>
      </c>
      <c r="B27" s="741" t="s">
        <v>2</v>
      </c>
      <c r="C27" s="347">
        <f>4*15*0.75</f>
        <v>45</v>
      </c>
      <c r="D27" s="457" t="s">
        <v>738</v>
      </c>
      <c r="E27" s="129" t="s">
        <v>667</v>
      </c>
      <c r="F27" s="677">
        <v>48</v>
      </c>
    </row>
    <row r="28" spans="1:6" ht="21" x14ac:dyDescent="0.4">
      <c r="A28" s="551"/>
      <c r="B28" s="706"/>
      <c r="C28" s="347"/>
      <c r="D28" s="457" t="s">
        <v>746</v>
      </c>
      <c r="E28" s="129" t="s">
        <v>667</v>
      </c>
      <c r="F28" s="677">
        <v>15</v>
      </c>
    </row>
    <row r="29" spans="1:6" ht="21" x14ac:dyDescent="0.4">
      <c r="A29" s="551"/>
      <c r="B29" s="706"/>
      <c r="C29" s="347"/>
      <c r="D29" s="457" t="s">
        <v>735</v>
      </c>
      <c r="E29" s="129" t="s">
        <v>668</v>
      </c>
      <c r="F29" s="677">
        <v>45</v>
      </c>
    </row>
    <row r="30" spans="1:6" ht="18" x14ac:dyDescent="0.25">
      <c r="A30" s="687" t="s">
        <v>307</v>
      </c>
      <c r="B30" s="74"/>
      <c r="C30" s="601">
        <f>SUM(C31:C32)</f>
        <v>67.5</v>
      </c>
      <c r="D30" s="559"/>
      <c r="E30" s="560"/>
      <c r="F30" s="686">
        <f>SUM(F31:F34)</f>
        <v>94.25</v>
      </c>
    </row>
    <row r="31" spans="1:6" ht="21" x14ac:dyDescent="0.4">
      <c r="A31" s="457" t="s">
        <v>709</v>
      </c>
      <c r="B31" s="129" t="s">
        <v>667</v>
      </c>
      <c r="C31" s="347">
        <v>45</v>
      </c>
      <c r="D31" s="457" t="s">
        <v>732</v>
      </c>
      <c r="E31" s="129" t="s">
        <v>667</v>
      </c>
      <c r="F31" s="682">
        <v>15</v>
      </c>
    </row>
    <row r="32" spans="1:6" ht="21" x14ac:dyDescent="0.4">
      <c r="A32" s="457" t="s">
        <v>696</v>
      </c>
      <c r="B32" s="129" t="s">
        <v>668</v>
      </c>
      <c r="C32" s="87">
        <v>22.5</v>
      </c>
      <c r="D32" s="680" t="s">
        <v>733</v>
      </c>
      <c r="E32" s="141" t="s">
        <v>667</v>
      </c>
      <c r="F32" s="683">
        <v>60</v>
      </c>
    </row>
    <row r="33" spans="1:6" ht="21" x14ac:dyDescent="0.4">
      <c r="A33" s="87"/>
      <c r="B33" s="87"/>
      <c r="C33" s="87"/>
      <c r="D33" s="681" t="s">
        <v>734</v>
      </c>
      <c r="E33" s="141" t="s">
        <v>667</v>
      </c>
      <c r="F33" s="683">
        <v>8</v>
      </c>
    </row>
    <row r="34" spans="1:6" ht="21" x14ac:dyDescent="0.4">
      <c r="A34" s="87"/>
      <c r="B34" s="87"/>
      <c r="C34" s="87"/>
      <c r="D34" s="680" t="s">
        <v>735</v>
      </c>
      <c r="E34" s="141" t="s">
        <v>668</v>
      </c>
      <c r="F34" s="683">
        <v>11.25</v>
      </c>
    </row>
    <row r="35" spans="1:6" ht="18" x14ac:dyDescent="0.25">
      <c r="A35" s="87" t="s">
        <v>308</v>
      </c>
      <c r="B35" s="87"/>
      <c r="C35" s="372">
        <f>SUM(C36:C37)</f>
        <v>69</v>
      </c>
      <c r="D35" s="565"/>
      <c r="E35" s="560"/>
      <c r="F35" s="686">
        <f>SUM(F36:F37)</f>
        <v>69</v>
      </c>
    </row>
    <row r="36" spans="1:6" ht="21" x14ac:dyDescent="0.4">
      <c r="A36" s="457" t="s">
        <v>711</v>
      </c>
      <c r="B36" s="129" t="s">
        <v>667</v>
      </c>
      <c r="C36" s="72">
        <v>24</v>
      </c>
      <c r="D36" s="457" t="s">
        <v>776</v>
      </c>
      <c r="E36" s="729" t="s">
        <v>667</v>
      </c>
      <c r="F36" s="677">
        <v>24</v>
      </c>
    </row>
    <row r="37" spans="1:6" ht="21" x14ac:dyDescent="0.4">
      <c r="A37" s="717" t="s">
        <v>696</v>
      </c>
      <c r="B37" s="141" t="s">
        <v>668</v>
      </c>
      <c r="C37" s="778">
        <f>3*15</f>
        <v>45</v>
      </c>
      <c r="D37" s="680" t="s">
        <v>735</v>
      </c>
      <c r="E37" s="779" t="s">
        <v>668</v>
      </c>
      <c r="F37" s="723">
        <v>45</v>
      </c>
    </row>
    <row r="38" spans="1:6" x14ac:dyDescent="0.25">
      <c r="A38" s="699" t="s">
        <v>310</v>
      </c>
      <c r="B38" s="699"/>
      <c r="C38" s="694">
        <f>SUM(C39:C40)</f>
        <v>56.3</v>
      </c>
      <c r="D38" s="92"/>
      <c r="E38" s="74"/>
      <c r="F38" s="94">
        <f>SUM(F39:F40)</f>
        <v>36.5</v>
      </c>
    </row>
    <row r="39" spans="1:6" ht="21" x14ac:dyDescent="0.4">
      <c r="A39" s="705" t="s">
        <v>701</v>
      </c>
      <c r="B39" s="129" t="s">
        <v>702</v>
      </c>
      <c r="C39" s="753">
        <v>33.799999999999997</v>
      </c>
      <c r="D39" s="716" t="s">
        <v>734</v>
      </c>
      <c r="E39" s="129" t="s">
        <v>667</v>
      </c>
      <c r="F39" s="577">
        <v>14</v>
      </c>
    </row>
    <row r="40" spans="1:6" ht="21" x14ac:dyDescent="0.4">
      <c r="A40" s="705" t="s">
        <v>696</v>
      </c>
      <c r="B40" s="129" t="s">
        <v>668</v>
      </c>
      <c r="C40" s="753">
        <v>22.5</v>
      </c>
      <c r="D40" s="717" t="s">
        <v>735</v>
      </c>
      <c r="E40" s="141" t="s">
        <v>668</v>
      </c>
      <c r="F40" s="577">
        <v>22.5</v>
      </c>
    </row>
    <row r="41" spans="1:6" x14ac:dyDescent="0.25">
      <c r="A41" s="701" t="s">
        <v>309</v>
      </c>
      <c r="B41" s="701"/>
      <c r="C41" s="657">
        <f>SUM(C42:C44)</f>
        <v>78.75</v>
      </c>
      <c r="D41" s="710"/>
      <c r="E41" s="710"/>
      <c r="F41" s="715">
        <f>SUM(F42:F44)</f>
        <v>55</v>
      </c>
    </row>
    <row r="42" spans="1:6" ht="21" x14ac:dyDescent="0.4">
      <c r="A42" s="711" t="s">
        <v>721</v>
      </c>
      <c r="B42" s="666" t="s">
        <v>670</v>
      </c>
      <c r="C42" s="713">
        <v>22.5</v>
      </c>
      <c r="D42" s="681" t="s">
        <v>734</v>
      </c>
      <c r="E42" s="141" t="s">
        <v>667</v>
      </c>
      <c r="F42" s="577">
        <v>10</v>
      </c>
    </row>
    <row r="43" spans="1:6" ht="21" x14ac:dyDescent="0.4">
      <c r="A43" s="712" t="s">
        <v>701</v>
      </c>
      <c r="B43" s="660" t="s">
        <v>702</v>
      </c>
      <c r="C43" s="713">
        <v>33.75</v>
      </c>
      <c r="D43" s="681" t="s">
        <v>741</v>
      </c>
      <c r="E43" s="141" t="s">
        <v>670</v>
      </c>
      <c r="F43" s="577">
        <v>22.5</v>
      </c>
    </row>
    <row r="44" spans="1:6" ht="21" x14ac:dyDescent="0.4">
      <c r="A44" s="712" t="s">
        <v>696</v>
      </c>
      <c r="B44" s="660" t="s">
        <v>668</v>
      </c>
      <c r="C44" s="713">
        <v>22.5</v>
      </c>
      <c r="D44" s="661" t="s">
        <v>735</v>
      </c>
      <c r="E44" s="662" t="s">
        <v>668</v>
      </c>
      <c r="F44" s="577">
        <v>22.5</v>
      </c>
    </row>
    <row r="45" spans="1:6" x14ac:dyDescent="0.25">
      <c r="A45" s="708" t="s">
        <v>316</v>
      </c>
      <c r="B45" s="708"/>
      <c r="C45" s="707">
        <f>SUM(C46:C47)</f>
        <v>56.25</v>
      </c>
      <c r="D45" s="514"/>
      <c r="E45" s="345"/>
      <c r="F45" s="709">
        <f>SUM(F46:F47)</f>
        <v>31.5</v>
      </c>
    </row>
    <row r="46" spans="1:6" ht="21" x14ac:dyDescent="0.4">
      <c r="A46" s="705" t="s">
        <v>701</v>
      </c>
      <c r="B46" s="141" t="s">
        <v>702</v>
      </c>
      <c r="C46" s="347">
        <v>33.75</v>
      </c>
      <c r="D46" s="716" t="s">
        <v>734</v>
      </c>
      <c r="E46" s="129" t="s">
        <v>667</v>
      </c>
      <c r="F46" s="677">
        <v>9</v>
      </c>
    </row>
    <row r="47" spans="1:6" ht="21" x14ac:dyDescent="0.4">
      <c r="A47" s="717" t="s">
        <v>696</v>
      </c>
      <c r="B47" s="141" t="s">
        <v>668</v>
      </c>
      <c r="C47" s="781">
        <v>22.5</v>
      </c>
      <c r="D47" s="717" t="s">
        <v>735</v>
      </c>
      <c r="E47" s="141" t="s">
        <v>668</v>
      </c>
      <c r="F47" s="723">
        <v>22.5</v>
      </c>
    </row>
    <row r="48" spans="1:6" x14ac:dyDescent="0.25">
      <c r="A48" s="699" t="s">
        <v>312</v>
      </c>
      <c r="B48" s="699"/>
      <c r="C48" s="694">
        <f>SUM(C49:C51)</f>
        <v>75</v>
      </c>
      <c r="D48" s="544"/>
      <c r="E48" s="544"/>
      <c r="F48" s="94">
        <f>SUM(F49:F51)</f>
        <v>97.5</v>
      </c>
    </row>
    <row r="49" spans="1:6" ht="21" x14ac:dyDescent="0.4">
      <c r="A49" s="457" t="s">
        <v>728</v>
      </c>
      <c r="B49" s="141" t="s">
        <v>667</v>
      </c>
      <c r="C49" s="596">
        <v>30</v>
      </c>
      <c r="D49" s="742" t="s">
        <v>732</v>
      </c>
      <c r="E49" s="122" t="s">
        <v>667</v>
      </c>
      <c r="F49" s="540">
        <v>30</v>
      </c>
    </row>
    <row r="50" spans="1:6" ht="21" x14ac:dyDescent="0.4">
      <c r="A50" s="784" t="s">
        <v>721</v>
      </c>
      <c r="B50" s="700" t="s">
        <v>670</v>
      </c>
      <c r="C50" s="743">
        <v>15</v>
      </c>
      <c r="D50" s="714" t="s">
        <v>752</v>
      </c>
      <c r="E50" s="660" t="s">
        <v>670</v>
      </c>
      <c r="F50" s="577">
        <v>22.5</v>
      </c>
    </row>
    <row r="51" spans="1:6" ht="21" x14ac:dyDescent="0.4">
      <c r="A51" s="717" t="s">
        <v>696</v>
      </c>
      <c r="B51" s="141" t="s">
        <v>668</v>
      </c>
      <c r="C51" s="347">
        <v>30</v>
      </c>
      <c r="D51" s="717" t="s">
        <v>735</v>
      </c>
      <c r="E51" s="141" t="s">
        <v>668</v>
      </c>
      <c r="F51" s="542">
        <v>45</v>
      </c>
    </row>
    <row r="52" spans="1:6" ht="18" x14ac:dyDescent="0.25">
      <c r="A52" s="276" t="s">
        <v>320</v>
      </c>
      <c r="B52" s="87"/>
      <c r="C52" s="780">
        <f>C2+C4+C8+C13+C18+C25+C30+C35+C38+C41+C45+C48</f>
        <v>834.8</v>
      </c>
      <c r="D52" s="92"/>
      <c r="E52" s="74"/>
      <c r="F52" s="783">
        <f>F2+F4+F8+F13+F18+F25+F30+F35+F38+F41+F45+F48</f>
        <v>1203.25</v>
      </c>
    </row>
    <row r="53" spans="1:6" ht="18" x14ac:dyDescent="0.25">
      <c r="A53" s="266" t="s">
        <v>321</v>
      </c>
      <c r="B53" s="93"/>
      <c r="C53" s="534">
        <f>C52/(15*35)</f>
        <v>1.590095238095238</v>
      </c>
      <c r="D53" s="92"/>
      <c r="E53" s="74"/>
      <c r="F53" s="523">
        <f>F52/(15*35)</f>
        <v>2.2919047619047621</v>
      </c>
    </row>
    <row r="54" spans="1:6" ht="18" x14ac:dyDescent="0.25">
      <c r="A54" s="266" t="s">
        <v>322</v>
      </c>
      <c r="B54" s="93"/>
      <c r="C54" s="535">
        <f>(C53+F53)/2</f>
        <v>1.9410000000000001</v>
      </c>
      <c r="D54" s="92"/>
      <c r="E54" s="74"/>
      <c r="F54" s="9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0"/>
  <sheetViews>
    <sheetView workbookViewId="0">
      <selection activeCell="F19" sqref="F19"/>
    </sheetView>
  </sheetViews>
  <sheetFormatPr defaultRowHeight="13.8" x14ac:dyDescent="0.25"/>
  <cols>
    <col min="1" max="1" width="8.796875" style="72"/>
    <col min="2" max="2" width="15.296875" style="72" customWidth="1"/>
    <col min="3" max="3" width="9.8984375" style="549" customWidth="1"/>
    <col min="4" max="5" width="8.796875" style="72"/>
    <col min="6" max="6" width="10.296875" style="72" bestFit="1" customWidth="1"/>
    <col min="7" max="16384" width="8.796875" style="72"/>
  </cols>
  <sheetData>
    <row r="1" spans="1:6" x14ac:dyDescent="0.25">
      <c r="A1" s="536"/>
      <c r="B1" s="536"/>
      <c r="C1" s="71" t="s">
        <v>512</v>
      </c>
      <c r="F1" s="71" t="s">
        <v>513</v>
      </c>
    </row>
    <row r="2" spans="1:6" x14ac:dyDescent="0.25">
      <c r="A2" s="728" t="s">
        <v>693</v>
      </c>
      <c r="B2" s="578"/>
      <c r="C2" s="652">
        <f>SUM(C3)</f>
        <v>21</v>
      </c>
      <c r="D2" s="571"/>
      <c r="E2" s="578"/>
      <c r="F2" s="94"/>
    </row>
    <row r="3" spans="1:6" x14ac:dyDescent="0.25">
      <c r="A3" s="229" t="s">
        <v>314</v>
      </c>
      <c r="B3" s="579" t="s">
        <v>3</v>
      </c>
      <c r="C3" s="580">
        <v>21</v>
      </c>
      <c r="D3" s="253"/>
      <c r="E3" s="539"/>
      <c r="F3" s="254"/>
    </row>
    <row r="4" spans="1:6" x14ac:dyDescent="0.25">
      <c r="A4" s="721" t="s">
        <v>317</v>
      </c>
      <c r="B4" s="719"/>
      <c r="C4" s="720">
        <f>SUM(C5:C7)</f>
        <v>111</v>
      </c>
      <c r="D4" s="721"/>
      <c r="E4" s="719"/>
      <c r="F4" s="114">
        <f>SUM(F5:F6)</f>
        <v>67.5</v>
      </c>
    </row>
    <row r="5" spans="1:6" ht="21" x14ac:dyDescent="0.4">
      <c r="A5" s="724" t="s">
        <v>711</v>
      </c>
      <c r="B5" s="129" t="s">
        <v>667</v>
      </c>
      <c r="C5" s="725">
        <f>3*15</f>
        <v>45</v>
      </c>
      <c r="D5" s="724" t="s">
        <v>698</v>
      </c>
      <c r="E5" s="129" t="s">
        <v>667</v>
      </c>
      <c r="F5" s="677">
        <v>45</v>
      </c>
    </row>
    <row r="6" spans="1:6" ht="21" x14ac:dyDescent="0.4">
      <c r="A6" s="457" t="s">
        <v>725</v>
      </c>
      <c r="B6" s="129" t="s">
        <v>667</v>
      </c>
      <c r="C6" s="347">
        <f>3*7</f>
        <v>21</v>
      </c>
      <c r="D6" s="457" t="s">
        <v>742</v>
      </c>
      <c r="E6" s="129" t="s">
        <v>668</v>
      </c>
      <c r="F6" s="677">
        <v>22.5</v>
      </c>
    </row>
    <row r="7" spans="1:6" ht="21" x14ac:dyDescent="0.4">
      <c r="A7" s="457" t="s">
        <v>696</v>
      </c>
      <c r="B7" s="129" t="s">
        <v>668</v>
      </c>
      <c r="C7" s="585">
        <f>4*15*0.75</f>
        <v>45</v>
      </c>
      <c r="D7" s="684"/>
      <c r="E7" s="684"/>
      <c r="F7" s="677"/>
    </row>
    <row r="8" spans="1:6" x14ac:dyDescent="0.25">
      <c r="A8" s="730" t="s">
        <v>326</v>
      </c>
      <c r="B8" s="699"/>
      <c r="C8" s="652">
        <f>SUM(C9:C13)</f>
        <v>129</v>
      </c>
      <c r="D8" s="699"/>
      <c r="E8" s="699"/>
      <c r="F8" s="94">
        <f>SUM(F9:F13)</f>
        <v>103.75</v>
      </c>
    </row>
    <row r="9" spans="1:6" ht="21" x14ac:dyDescent="0.25">
      <c r="A9" s="705" t="s">
        <v>694</v>
      </c>
      <c r="B9" s="116" t="s">
        <v>667</v>
      </c>
      <c r="C9" s="751">
        <v>15</v>
      </c>
      <c r="D9" s="457" t="s">
        <v>699</v>
      </c>
      <c r="E9" s="116" t="s">
        <v>667</v>
      </c>
      <c r="F9" s="677">
        <v>21</v>
      </c>
    </row>
    <row r="10" spans="1:6" ht="21" x14ac:dyDescent="0.4">
      <c r="A10" s="457" t="s">
        <v>699</v>
      </c>
      <c r="B10" s="116" t="s">
        <v>667</v>
      </c>
      <c r="C10" s="751">
        <v>21</v>
      </c>
      <c r="D10" s="457" t="s">
        <v>758</v>
      </c>
      <c r="E10" s="129" t="s">
        <v>667</v>
      </c>
      <c r="F10" s="677">
        <v>24</v>
      </c>
    </row>
    <row r="11" spans="1:6" ht="21" x14ac:dyDescent="0.4">
      <c r="A11" s="457" t="s">
        <v>725</v>
      </c>
      <c r="B11" s="129" t="s">
        <v>667</v>
      </c>
      <c r="C11" s="752">
        <v>30</v>
      </c>
      <c r="D11" s="457" t="s">
        <v>746</v>
      </c>
      <c r="E11" s="129" t="s">
        <v>667</v>
      </c>
      <c r="F11" s="677">
        <v>15</v>
      </c>
    </row>
    <row r="12" spans="1:6" ht="21" x14ac:dyDescent="0.4">
      <c r="A12" s="457" t="s">
        <v>701</v>
      </c>
      <c r="B12" s="129" t="s">
        <v>702</v>
      </c>
      <c r="C12" s="751">
        <v>27</v>
      </c>
      <c r="D12" s="508" t="s">
        <v>734</v>
      </c>
      <c r="E12" s="129" t="s">
        <v>667</v>
      </c>
      <c r="F12" s="677">
        <v>10</v>
      </c>
    </row>
    <row r="13" spans="1:6" ht="21" x14ac:dyDescent="0.4">
      <c r="A13" s="457" t="s">
        <v>696</v>
      </c>
      <c r="B13" s="129" t="s">
        <v>668</v>
      </c>
      <c r="C13" s="751">
        <v>36</v>
      </c>
      <c r="D13" s="457" t="s">
        <v>759</v>
      </c>
      <c r="E13" s="129" t="s">
        <v>668</v>
      </c>
      <c r="F13" s="677">
        <v>33.75</v>
      </c>
    </row>
    <row r="14" spans="1:6" ht="18" hidden="1" x14ac:dyDescent="0.25">
      <c r="A14" s="248"/>
      <c r="B14" s="678"/>
      <c r="C14" s="550"/>
      <c r="D14" s="722"/>
      <c r="E14" s="573"/>
      <c r="F14" s="723"/>
    </row>
    <row r="15" spans="1:6" hidden="1" x14ac:dyDescent="0.25">
      <c r="A15" s="100"/>
      <c r="B15" s="85"/>
      <c r="C15" s="398"/>
      <c r="D15" s="345"/>
      <c r="E15" s="377"/>
      <c r="F15" s="543"/>
    </row>
    <row r="16" spans="1:6" x14ac:dyDescent="0.25">
      <c r="A16" s="730" t="s">
        <v>773</v>
      </c>
      <c r="B16" s="578"/>
      <c r="C16" s="652"/>
      <c r="D16" s="571"/>
      <c r="E16" s="578"/>
      <c r="F16" s="94">
        <f>SUM(F17)</f>
        <v>11.25</v>
      </c>
    </row>
    <row r="17" spans="1:6" ht="21" x14ac:dyDescent="0.4">
      <c r="A17" s="229"/>
      <c r="B17" s="579"/>
      <c r="C17" s="725"/>
      <c r="D17" s="457" t="s">
        <v>735</v>
      </c>
      <c r="E17" s="129" t="s">
        <v>668</v>
      </c>
      <c r="F17" s="677">
        <v>11.25</v>
      </c>
    </row>
    <row r="18" spans="1:6" ht="18" x14ac:dyDescent="0.25">
      <c r="A18" s="276" t="s">
        <v>320</v>
      </c>
      <c r="B18" s="87"/>
      <c r="C18" s="785">
        <f>C2+C4+C8+C16</f>
        <v>261</v>
      </c>
      <c r="D18" s="92"/>
      <c r="E18" s="74"/>
      <c r="F18" s="782">
        <f>F2+F4+F8+F16</f>
        <v>182.5</v>
      </c>
    </row>
    <row r="19" spans="1:6" ht="18" x14ac:dyDescent="0.25">
      <c r="A19" s="266" t="s">
        <v>321</v>
      </c>
      <c r="B19" s="93"/>
      <c r="C19" s="534">
        <f>C18/(15*35)</f>
        <v>0.49714285714285716</v>
      </c>
      <c r="D19" s="92"/>
      <c r="E19" s="74"/>
      <c r="F19" s="522">
        <f>F18/(15*35)</f>
        <v>0.34761904761904761</v>
      </c>
    </row>
    <row r="20" spans="1:6" ht="18" x14ac:dyDescent="0.25">
      <c r="A20" s="266" t="s">
        <v>322</v>
      </c>
      <c r="B20" s="93"/>
      <c r="C20" s="535">
        <f>(C19+F19)/2</f>
        <v>0.42238095238095241</v>
      </c>
      <c r="D20" s="92"/>
      <c r="E20" s="74"/>
      <c r="F20" s="9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8"/>
  <sheetViews>
    <sheetView topLeftCell="A55" workbookViewId="0">
      <selection activeCell="J64" sqref="J64"/>
    </sheetView>
  </sheetViews>
  <sheetFormatPr defaultRowHeight="13.2" x14ac:dyDescent="0.25"/>
  <cols>
    <col min="1" max="1" width="39.796875" style="627" bestFit="1" customWidth="1"/>
    <col min="2" max="2" width="8.796875" style="627"/>
    <col min="3" max="3" width="9.8984375" style="636" customWidth="1"/>
    <col min="4" max="4" width="14.8984375" style="627" bestFit="1" customWidth="1"/>
    <col min="5" max="5" width="8.796875" style="627"/>
    <col min="6" max="6" width="10.296875" style="627" bestFit="1" customWidth="1"/>
    <col min="7" max="16384" width="8.796875" style="627"/>
  </cols>
  <sheetData>
    <row r="1" spans="1:6" x14ac:dyDescent="0.25">
      <c r="A1" s="625"/>
      <c r="B1" s="625"/>
      <c r="C1" s="626" t="s">
        <v>512</v>
      </c>
      <c r="F1" s="626" t="s">
        <v>513</v>
      </c>
    </row>
    <row r="2" spans="1:6" x14ac:dyDescent="0.25">
      <c r="A2" s="634" t="s">
        <v>311</v>
      </c>
      <c r="B2" s="628"/>
      <c r="C2" s="629">
        <f>SUM(C3:C10)</f>
        <v>166</v>
      </c>
      <c r="D2" s="544"/>
      <c r="E2" s="628"/>
      <c r="F2" s="630">
        <f>SUM(F3:F7)</f>
        <v>135</v>
      </c>
    </row>
    <row r="3" spans="1:6" ht="21" x14ac:dyDescent="0.25">
      <c r="A3" s="705" t="s">
        <v>688</v>
      </c>
      <c r="B3" s="790" t="s">
        <v>667</v>
      </c>
      <c r="C3" s="667">
        <v>15</v>
      </c>
      <c r="D3" s="668" t="s">
        <v>716</v>
      </c>
      <c r="E3" s="669" t="s">
        <v>667</v>
      </c>
      <c r="F3" s="670">
        <v>15</v>
      </c>
    </row>
    <row r="4" spans="1:6" ht="21" x14ac:dyDescent="0.4">
      <c r="A4" s="717" t="s">
        <v>689</v>
      </c>
      <c r="B4" s="791" t="s">
        <v>667</v>
      </c>
      <c r="C4" s="672">
        <v>15</v>
      </c>
      <c r="D4" s="673" t="s">
        <v>713</v>
      </c>
      <c r="E4" s="660" t="s">
        <v>670</v>
      </c>
      <c r="F4" s="577">
        <v>22.5</v>
      </c>
    </row>
    <row r="5" spans="1:6" ht="21" x14ac:dyDescent="0.4">
      <c r="A5" s="681" t="s">
        <v>719</v>
      </c>
      <c r="B5" s="729" t="s">
        <v>667</v>
      </c>
      <c r="C5" s="672">
        <v>16</v>
      </c>
      <c r="D5" s="673" t="s">
        <v>704</v>
      </c>
      <c r="E5" s="660" t="s">
        <v>670</v>
      </c>
      <c r="F5" s="577">
        <v>7.5</v>
      </c>
    </row>
    <row r="6" spans="1:6" ht="21" x14ac:dyDescent="0.4">
      <c r="A6" s="717" t="s">
        <v>713</v>
      </c>
      <c r="B6" s="729" t="s">
        <v>670</v>
      </c>
      <c r="C6" s="674">
        <v>22.5</v>
      </c>
      <c r="D6" s="673" t="s">
        <v>729</v>
      </c>
      <c r="E6" s="660" t="s">
        <v>670</v>
      </c>
      <c r="F6" s="577">
        <v>45</v>
      </c>
    </row>
    <row r="7" spans="1:6" ht="21" x14ac:dyDescent="0.4">
      <c r="A7" s="661" t="s">
        <v>704</v>
      </c>
      <c r="B7" s="792" t="s">
        <v>670</v>
      </c>
      <c r="C7" s="672">
        <v>7.5</v>
      </c>
      <c r="D7" s="673" t="s">
        <v>730</v>
      </c>
      <c r="E7" s="660" t="s">
        <v>668</v>
      </c>
      <c r="F7" s="577">
        <v>45</v>
      </c>
    </row>
    <row r="8" spans="1:6" ht="21" x14ac:dyDescent="0.4">
      <c r="A8" s="661" t="s">
        <v>720</v>
      </c>
      <c r="B8" s="792" t="s">
        <v>670</v>
      </c>
      <c r="C8" s="672">
        <v>22.5</v>
      </c>
      <c r="D8" s="675"/>
      <c r="E8" s="676"/>
      <c r="F8" s="677"/>
    </row>
    <row r="9" spans="1:6" ht="21" x14ac:dyDescent="0.4">
      <c r="A9" s="659" t="s">
        <v>719</v>
      </c>
      <c r="B9" s="792" t="s">
        <v>670</v>
      </c>
      <c r="C9" s="665">
        <v>22.5</v>
      </c>
      <c r="D9" s="671"/>
      <c r="E9" s="635"/>
      <c r="F9" s="574"/>
    </row>
    <row r="10" spans="1:6" ht="21" x14ac:dyDescent="0.4">
      <c r="A10" s="661" t="s">
        <v>697</v>
      </c>
      <c r="B10" s="793" t="s">
        <v>668</v>
      </c>
      <c r="C10" s="663">
        <v>45</v>
      </c>
      <c r="D10" s="664"/>
      <c r="E10" s="633"/>
      <c r="F10" s="572"/>
    </row>
    <row r="11" spans="1:6" ht="13.8" x14ac:dyDescent="0.25">
      <c r="A11" s="763" t="s">
        <v>302</v>
      </c>
      <c r="B11" s="628"/>
      <c r="C11" s="634">
        <f>SUM(C12:C18)</f>
        <v>142.5</v>
      </c>
      <c r="D11" s="628"/>
      <c r="E11" s="628"/>
      <c r="F11" s="286">
        <f>SUM(F12:F14)</f>
        <v>60</v>
      </c>
    </row>
    <row r="12" spans="1:6" ht="21" x14ac:dyDescent="0.4">
      <c r="A12" s="659" t="s">
        <v>686</v>
      </c>
      <c r="B12" s="792" t="s">
        <v>667</v>
      </c>
      <c r="C12" s="761">
        <v>24</v>
      </c>
      <c r="D12" s="757" t="s">
        <v>716</v>
      </c>
      <c r="E12" s="759" t="s">
        <v>667</v>
      </c>
      <c r="F12" s="762">
        <v>15</v>
      </c>
    </row>
    <row r="13" spans="1:6" ht="21" x14ac:dyDescent="0.4">
      <c r="A13" s="659" t="s">
        <v>687</v>
      </c>
      <c r="B13" s="792" t="s">
        <v>667</v>
      </c>
      <c r="C13" s="761">
        <v>21</v>
      </c>
      <c r="D13" s="757" t="s">
        <v>713</v>
      </c>
      <c r="E13" s="660" t="s">
        <v>670</v>
      </c>
      <c r="F13" s="762">
        <v>22.5</v>
      </c>
    </row>
    <row r="14" spans="1:6" ht="21" x14ac:dyDescent="0.4">
      <c r="A14" s="659" t="s">
        <v>688</v>
      </c>
      <c r="B14" s="794" t="s">
        <v>667</v>
      </c>
      <c r="C14" s="761">
        <v>15</v>
      </c>
      <c r="D14" s="757" t="s">
        <v>730</v>
      </c>
      <c r="E14" s="660" t="s">
        <v>668</v>
      </c>
      <c r="F14" s="762">
        <v>22.5</v>
      </c>
    </row>
    <row r="15" spans="1:6" ht="21" x14ac:dyDescent="0.25">
      <c r="A15" s="659" t="s">
        <v>689</v>
      </c>
      <c r="B15" s="795" t="s">
        <v>667</v>
      </c>
      <c r="C15" s="761">
        <v>15</v>
      </c>
      <c r="D15" s="676"/>
      <c r="E15" s="676"/>
      <c r="F15" s="677"/>
    </row>
    <row r="16" spans="1:6" ht="21" x14ac:dyDescent="0.4">
      <c r="A16" s="659" t="s">
        <v>690</v>
      </c>
      <c r="B16" s="792" t="s">
        <v>670</v>
      </c>
      <c r="C16" s="655">
        <v>22.5</v>
      </c>
      <c r="D16" s="676"/>
      <c r="E16" s="676"/>
      <c r="F16" s="677"/>
    </row>
    <row r="17" spans="1:6" ht="21" x14ac:dyDescent="0.4">
      <c r="A17" s="659" t="s">
        <v>691</v>
      </c>
      <c r="B17" s="792" t="s">
        <v>670</v>
      </c>
      <c r="C17" s="761">
        <v>22.5</v>
      </c>
      <c r="D17" s="676"/>
      <c r="E17" s="676"/>
      <c r="F17" s="677"/>
    </row>
    <row r="18" spans="1:6" ht="21" x14ac:dyDescent="0.4">
      <c r="A18" s="659" t="s">
        <v>692</v>
      </c>
      <c r="B18" s="793" t="s">
        <v>668</v>
      </c>
      <c r="C18" s="758">
        <v>22.5</v>
      </c>
      <c r="D18" s="632"/>
      <c r="E18" s="635"/>
      <c r="F18" s="543"/>
    </row>
    <row r="19" spans="1:6" ht="13.8" x14ac:dyDescent="0.25">
      <c r="A19" s="730" t="s">
        <v>305</v>
      </c>
      <c r="B19" s="545"/>
      <c r="C19" s="654">
        <f>SUM(C20:C26)</f>
        <v>138.75</v>
      </c>
      <c r="D19" s="545"/>
      <c r="E19" s="545"/>
      <c r="F19" s="630">
        <f>SUM(F20:F23)</f>
        <v>93</v>
      </c>
    </row>
    <row r="20" spans="1:6" ht="21" x14ac:dyDescent="0.4">
      <c r="A20" s="680" t="s">
        <v>686</v>
      </c>
      <c r="B20" s="729" t="s">
        <v>667</v>
      </c>
      <c r="C20" s="750">
        <v>21</v>
      </c>
      <c r="D20" s="457" t="s">
        <v>704</v>
      </c>
      <c r="E20" s="129" t="s">
        <v>670</v>
      </c>
      <c r="F20" s="540">
        <v>15</v>
      </c>
    </row>
    <row r="21" spans="1:6" ht="21" x14ac:dyDescent="0.4">
      <c r="A21" s="680" t="s">
        <v>687</v>
      </c>
      <c r="B21" s="729" t="s">
        <v>667</v>
      </c>
      <c r="C21" s="683">
        <v>24</v>
      </c>
      <c r="D21" s="457" t="s">
        <v>756</v>
      </c>
      <c r="E21" s="129" t="s">
        <v>670</v>
      </c>
      <c r="F21" s="677">
        <v>10.5</v>
      </c>
    </row>
    <row r="22" spans="1:6" ht="21" x14ac:dyDescent="0.4">
      <c r="A22" s="680" t="s">
        <v>703</v>
      </c>
      <c r="B22" s="729" t="s">
        <v>670</v>
      </c>
      <c r="C22" s="690">
        <v>22.5</v>
      </c>
      <c r="D22" s="457" t="s">
        <v>757</v>
      </c>
      <c r="E22" s="129" t="s">
        <v>1</v>
      </c>
      <c r="F22" s="677">
        <v>22.5</v>
      </c>
    </row>
    <row r="23" spans="1:6" ht="21" x14ac:dyDescent="0.4">
      <c r="A23" s="680" t="s">
        <v>704</v>
      </c>
      <c r="B23" s="729" t="s">
        <v>670</v>
      </c>
      <c r="C23" s="683">
        <v>7.5</v>
      </c>
      <c r="D23" s="457" t="s">
        <v>737</v>
      </c>
      <c r="E23" s="129" t="s">
        <v>668</v>
      </c>
      <c r="F23" s="677">
        <v>45</v>
      </c>
    </row>
    <row r="24" spans="1:6" ht="21" x14ac:dyDescent="0.4">
      <c r="A24" s="680" t="s">
        <v>705</v>
      </c>
      <c r="B24" s="779" t="s">
        <v>1</v>
      </c>
      <c r="C24" s="683">
        <v>7.5</v>
      </c>
      <c r="D24" s="676"/>
      <c r="E24" s="676"/>
      <c r="F24" s="677"/>
    </row>
    <row r="25" spans="1:6" ht="21" x14ac:dyDescent="0.4">
      <c r="A25" s="680" t="s">
        <v>697</v>
      </c>
      <c r="B25" s="779" t="s">
        <v>668</v>
      </c>
      <c r="C25" s="683">
        <v>45</v>
      </c>
      <c r="D25" s="676"/>
      <c r="E25" s="676"/>
      <c r="F25" s="677"/>
    </row>
    <row r="26" spans="1:6" ht="21" x14ac:dyDescent="0.4">
      <c r="A26" s="717" t="s">
        <v>706</v>
      </c>
      <c r="B26" s="779" t="s">
        <v>702</v>
      </c>
      <c r="C26" s="750">
        <v>11.25</v>
      </c>
      <c r="D26" s="638"/>
      <c r="E26" s="638"/>
      <c r="F26" s="638"/>
    </row>
    <row r="27" spans="1:6" ht="13.8" x14ac:dyDescent="0.25">
      <c r="A27" s="630" t="s">
        <v>307</v>
      </c>
      <c r="B27" s="649"/>
      <c r="C27" s="341">
        <f>SUM(C28:C30)</f>
        <v>56.3</v>
      </c>
      <c r="D27" s="640"/>
      <c r="E27" s="641"/>
      <c r="F27" s="685">
        <f>SUM(F28:F29)</f>
        <v>56.25</v>
      </c>
    </row>
    <row r="28" spans="1:6" ht="21" x14ac:dyDescent="0.4">
      <c r="A28" s="680" t="s">
        <v>710</v>
      </c>
      <c r="B28" s="779" t="s">
        <v>670</v>
      </c>
      <c r="C28" s="691">
        <v>22.5</v>
      </c>
      <c r="D28" s="457" t="s">
        <v>736</v>
      </c>
      <c r="E28" s="129" t="s">
        <v>667</v>
      </c>
      <c r="F28" s="688">
        <v>45</v>
      </c>
    </row>
    <row r="29" spans="1:6" ht="21" x14ac:dyDescent="0.4">
      <c r="A29" s="680" t="s">
        <v>697</v>
      </c>
      <c r="B29" s="779" t="s">
        <v>668</v>
      </c>
      <c r="C29" s="692">
        <v>22.5</v>
      </c>
      <c r="D29" s="680" t="s">
        <v>737</v>
      </c>
      <c r="E29" s="141" t="s">
        <v>668</v>
      </c>
      <c r="F29" s="690">
        <v>11.25</v>
      </c>
    </row>
    <row r="30" spans="1:6" ht="21" x14ac:dyDescent="0.4">
      <c r="A30" s="717" t="s">
        <v>706</v>
      </c>
      <c r="B30" s="779" t="s">
        <v>702</v>
      </c>
      <c r="C30" s="693">
        <v>11.3</v>
      </c>
      <c r="D30" s="642"/>
      <c r="E30" s="643"/>
      <c r="F30" s="689"/>
    </row>
    <row r="31" spans="1:6" ht="13.8" x14ac:dyDescent="0.25">
      <c r="A31" s="630" t="s">
        <v>308</v>
      </c>
      <c r="B31" s="649"/>
      <c r="C31" s="341">
        <f>SUM(C32:C35)</f>
        <v>82.5</v>
      </c>
      <c r="D31" s="644"/>
      <c r="E31" s="641"/>
      <c r="F31" s="686">
        <f>SUM(F32)</f>
        <v>21</v>
      </c>
    </row>
    <row r="32" spans="1:6" ht="21" x14ac:dyDescent="0.4">
      <c r="A32" s="680" t="s">
        <v>712</v>
      </c>
      <c r="B32" s="729" t="s">
        <v>667</v>
      </c>
      <c r="C32" s="655">
        <v>15</v>
      </c>
      <c r="D32" s="457" t="s">
        <v>712</v>
      </c>
      <c r="E32" s="129" t="s">
        <v>667</v>
      </c>
      <c r="F32" s="677">
        <v>21</v>
      </c>
    </row>
    <row r="33" spans="1:6" ht="21" x14ac:dyDescent="0.4">
      <c r="A33" s="680" t="s">
        <v>713</v>
      </c>
      <c r="B33" s="729" t="s">
        <v>670</v>
      </c>
      <c r="C33" s="655">
        <v>22.5</v>
      </c>
      <c r="D33" s="676"/>
      <c r="E33" s="676"/>
      <c r="F33" s="677"/>
    </row>
    <row r="34" spans="1:6" ht="21" x14ac:dyDescent="0.4">
      <c r="A34" s="680" t="s">
        <v>714</v>
      </c>
      <c r="B34" s="779" t="s">
        <v>1</v>
      </c>
      <c r="C34" s="655">
        <v>22.5</v>
      </c>
      <c r="D34" s="676"/>
      <c r="E34" s="676"/>
      <c r="F34" s="677"/>
    </row>
    <row r="35" spans="1:6" ht="21" x14ac:dyDescent="0.4">
      <c r="A35" s="680" t="s">
        <v>710</v>
      </c>
      <c r="B35" s="779" t="s">
        <v>1</v>
      </c>
      <c r="C35" s="695">
        <v>22.5</v>
      </c>
      <c r="D35" s="633"/>
      <c r="E35" s="633"/>
      <c r="F35" s="572"/>
    </row>
    <row r="36" spans="1:6" ht="13.8" x14ac:dyDescent="0.25">
      <c r="A36" s="730" t="s">
        <v>310</v>
      </c>
      <c r="B36" s="578"/>
      <c r="C36" s="694">
        <f>SUM(C37:C43)</f>
        <v>138.75</v>
      </c>
      <c r="D36" s="765"/>
      <c r="E36" s="766"/>
      <c r="F36" s="630">
        <f>SUM(F37:F43)</f>
        <v>133.5</v>
      </c>
    </row>
    <row r="37" spans="1:6" ht="21" x14ac:dyDescent="0.25">
      <c r="A37" s="717" t="s">
        <v>715</v>
      </c>
      <c r="B37" s="796" t="s">
        <v>667</v>
      </c>
      <c r="C37" s="691">
        <v>45</v>
      </c>
      <c r="D37" s="705" t="s">
        <v>763</v>
      </c>
      <c r="E37" s="116" t="s">
        <v>667</v>
      </c>
      <c r="F37" s="540">
        <v>24</v>
      </c>
    </row>
    <row r="38" spans="1:6" ht="21" x14ac:dyDescent="0.4">
      <c r="A38" s="717" t="s">
        <v>705</v>
      </c>
      <c r="B38" s="729" t="s">
        <v>670</v>
      </c>
      <c r="C38" s="753">
        <v>7.5</v>
      </c>
      <c r="D38" s="705" t="s">
        <v>704</v>
      </c>
      <c r="E38" s="129" t="s">
        <v>670</v>
      </c>
      <c r="F38" s="577">
        <v>7.5</v>
      </c>
    </row>
    <row r="39" spans="1:6" ht="21" x14ac:dyDescent="0.4">
      <c r="A39" s="717" t="s">
        <v>704</v>
      </c>
      <c r="B39" s="729" t="s">
        <v>670</v>
      </c>
      <c r="C39" s="753">
        <v>7.5</v>
      </c>
      <c r="D39" s="705" t="s">
        <v>764</v>
      </c>
      <c r="E39" s="666" t="s">
        <v>670</v>
      </c>
      <c r="F39" s="577">
        <v>22.5</v>
      </c>
    </row>
    <row r="40" spans="1:6" ht="21" x14ac:dyDescent="0.4">
      <c r="A40" s="717" t="s">
        <v>710</v>
      </c>
      <c r="B40" s="729" t="s">
        <v>670</v>
      </c>
      <c r="C40" s="753">
        <v>22.5</v>
      </c>
      <c r="D40" s="705" t="s">
        <v>765</v>
      </c>
      <c r="E40" s="129" t="s">
        <v>670</v>
      </c>
      <c r="F40" s="577">
        <v>22.5</v>
      </c>
    </row>
    <row r="41" spans="1:6" ht="21" x14ac:dyDescent="0.4">
      <c r="A41" s="661" t="s">
        <v>716</v>
      </c>
      <c r="B41" s="797" t="s">
        <v>670</v>
      </c>
      <c r="C41" s="753">
        <v>22.5</v>
      </c>
      <c r="D41" s="705" t="s">
        <v>766</v>
      </c>
      <c r="E41" s="129" t="s">
        <v>670</v>
      </c>
      <c r="F41" s="577">
        <v>22.5</v>
      </c>
    </row>
    <row r="42" spans="1:6" ht="21" x14ac:dyDescent="0.4">
      <c r="A42" s="717" t="s">
        <v>706</v>
      </c>
      <c r="B42" s="779" t="s">
        <v>702</v>
      </c>
      <c r="C42" s="753">
        <v>11.25</v>
      </c>
      <c r="D42" s="705" t="s">
        <v>767</v>
      </c>
      <c r="E42" s="129" t="s">
        <v>1</v>
      </c>
      <c r="F42" s="577">
        <v>12</v>
      </c>
    </row>
    <row r="43" spans="1:6" ht="21" x14ac:dyDescent="0.4">
      <c r="A43" s="717" t="s">
        <v>697</v>
      </c>
      <c r="B43" s="779" t="s">
        <v>668</v>
      </c>
      <c r="C43" s="753">
        <v>22.5</v>
      </c>
      <c r="D43" s="705" t="s">
        <v>737</v>
      </c>
      <c r="E43" s="129" t="s">
        <v>668</v>
      </c>
      <c r="F43" s="577">
        <v>22.5</v>
      </c>
    </row>
    <row r="44" spans="1:6" ht="13.8" x14ac:dyDescent="0.25">
      <c r="A44" s="799" t="s">
        <v>309</v>
      </c>
      <c r="B44" s="798"/>
      <c r="C44" s="657">
        <f>SUM(C45:C49)</f>
        <v>115.25</v>
      </c>
      <c r="D44" s="567"/>
      <c r="E44" s="567"/>
      <c r="F44" s="715">
        <f>SUM(F45)</f>
        <v>33.799999999999997</v>
      </c>
    </row>
    <row r="45" spans="1:6" ht="21" x14ac:dyDescent="0.4">
      <c r="A45" s="659" t="s">
        <v>719</v>
      </c>
      <c r="B45" s="792" t="s">
        <v>667</v>
      </c>
      <c r="C45" s="713">
        <v>14</v>
      </c>
      <c r="D45" s="712" t="s">
        <v>737</v>
      </c>
      <c r="E45" s="660" t="s">
        <v>668</v>
      </c>
      <c r="F45" s="577">
        <v>33.799999999999997</v>
      </c>
    </row>
    <row r="46" spans="1:6" ht="21" x14ac:dyDescent="0.25">
      <c r="A46" s="661" t="s">
        <v>716</v>
      </c>
      <c r="B46" s="797" t="s">
        <v>670</v>
      </c>
      <c r="C46" s="696">
        <v>22.5</v>
      </c>
      <c r="D46" s="718"/>
      <c r="E46" s="633"/>
      <c r="F46" s="572"/>
    </row>
    <row r="47" spans="1:6" ht="21" x14ac:dyDescent="0.4">
      <c r="A47" s="661" t="s">
        <v>720</v>
      </c>
      <c r="B47" s="792" t="s">
        <v>670</v>
      </c>
      <c r="C47" s="697">
        <v>22.5</v>
      </c>
      <c r="E47" s="631"/>
      <c r="F47" s="558"/>
    </row>
    <row r="48" spans="1:6" ht="21" x14ac:dyDescent="0.4">
      <c r="A48" s="659" t="s">
        <v>719</v>
      </c>
      <c r="B48" s="792" t="s">
        <v>670</v>
      </c>
      <c r="C48" s="698">
        <v>22.5</v>
      </c>
      <c r="D48" s="637"/>
      <c r="E48" s="631"/>
      <c r="F48" s="558"/>
    </row>
    <row r="49" spans="1:6" ht="21" x14ac:dyDescent="0.4">
      <c r="A49" s="661" t="s">
        <v>697</v>
      </c>
      <c r="B49" s="793" t="s">
        <v>668</v>
      </c>
      <c r="C49" s="698">
        <v>33.75</v>
      </c>
      <c r="D49" s="645"/>
      <c r="E49" s="646"/>
      <c r="F49" s="568"/>
    </row>
    <row r="50" spans="1:6" ht="13.8" x14ac:dyDescent="0.25">
      <c r="A50" s="730" t="s">
        <v>316</v>
      </c>
      <c r="B50" s="578"/>
      <c r="C50" s="694">
        <f>SUM(C51:C56)</f>
        <v>201.75</v>
      </c>
      <c r="D50" s="647"/>
      <c r="E50" s="648"/>
      <c r="F50" s="575">
        <f>SUM(F51:F55)</f>
        <v>183</v>
      </c>
    </row>
    <row r="51" spans="1:6" ht="21" x14ac:dyDescent="0.4">
      <c r="A51" s="717" t="s">
        <v>722</v>
      </c>
      <c r="B51" s="779" t="s">
        <v>667</v>
      </c>
      <c r="C51" s="773">
        <v>45</v>
      </c>
      <c r="D51" s="705" t="s">
        <v>771</v>
      </c>
      <c r="E51" s="129" t="s">
        <v>667</v>
      </c>
      <c r="F51" s="677">
        <v>45</v>
      </c>
    </row>
    <row r="52" spans="1:6" ht="21" x14ac:dyDescent="0.4">
      <c r="A52" s="717" t="s">
        <v>723</v>
      </c>
      <c r="B52" s="779" t="s">
        <v>667</v>
      </c>
      <c r="C52" s="760">
        <v>45</v>
      </c>
      <c r="D52" s="705" t="s">
        <v>763</v>
      </c>
      <c r="E52" s="129" t="s">
        <v>667</v>
      </c>
      <c r="F52" s="677">
        <v>21</v>
      </c>
    </row>
    <row r="53" spans="1:6" ht="21" x14ac:dyDescent="0.4">
      <c r="A53" s="659" t="s">
        <v>719</v>
      </c>
      <c r="B53" s="779" t="s">
        <v>670</v>
      </c>
      <c r="C53" s="760">
        <v>45</v>
      </c>
      <c r="D53" s="714" t="s">
        <v>723</v>
      </c>
      <c r="E53" s="129" t="s">
        <v>667</v>
      </c>
      <c r="F53" s="677">
        <v>45</v>
      </c>
    </row>
    <row r="54" spans="1:6" ht="21" x14ac:dyDescent="0.4">
      <c r="A54" s="659" t="s">
        <v>724</v>
      </c>
      <c r="B54" s="779" t="s">
        <v>670</v>
      </c>
      <c r="C54" s="760">
        <v>33</v>
      </c>
      <c r="D54" s="714" t="s">
        <v>767</v>
      </c>
      <c r="E54" s="129" t="s">
        <v>670</v>
      </c>
      <c r="F54" s="677">
        <v>49.5</v>
      </c>
    </row>
    <row r="55" spans="1:6" ht="21" x14ac:dyDescent="0.4">
      <c r="A55" s="717" t="s">
        <v>706</v>
      </c>
      <c r="B55" s="779" t="s">
        <v>702</v>
      </c>
      <c r="C55" s="760">
        <v>11.25</v>
      </c>
      <c r="D55" s="705" t="s">
        <v>737</v>
      </c>
      <c r="E55" s="129" t="s">
        <v>668</v>
      </c>
      <c r="F55" s="677">
        <v>22.5</v>
      </c>
    </row>
    <row r="56" spans="1:6" ht="21" x14ac:dyDescent="0.4">
      <c r="A56" s="717" t="s">
        <v>697</v>
      </c>
      <c r="B56" s="779" t="s">
        <v>668</v>
      </c>
      <c r="C56" s="774">
        <v>22.5</v>
      </c>
      <c r="D56" s="633"/>
      <c r="E56" s="633"/>
      <c r="F56" s="572"/>
    </row>
    <row r="57" spans="1:6" ht="13.8" x14ac:dyDescent="0.25">
      <c r="A57" s="730" t="s">
        <v>312</v>
      </c>
      <c r="B57" s="578"/>
      <c r="C57" s="694">
        <f>SUM(C58:C60)</f>
        <v>52.5</v>
      </c>
      <c r="D57" s="544"/>
      <c r="E57" s="544"/>
      <c r="F57" s="630">
        <f>SUM(F58:F59)</f>
        <v>35.299999999999997</v>
      </c>
    </row>
    <row r="58" spans="1:6" ht="21" x14ac:dyDescent="0.4">
      <c r="A58" s="680" t="s">
        <v>712</v>
      </c>
      <c r="B58" s="779" t="s">
        <v>667</v>
      </c>
      <c r="C58" s="744">
        <v>30</v>
      </c>
      <c r="D58" s="457" t="s">
        <v>712</v>
      </c>
      <c r="E58" s="660" t="s">
        <v>667</v>
      </c>
      <c r="F58" s="548">
        <v>24</v>
      </c>
    </row>
    <row r="59" spans="1:6" ht="21" x14ac:dyDescent="0.4">
      <c r="A59" s="680" t="s">
        <v>714</v>
      </c>
      <c r="B59" s="779" t="s">
        <v>1</v>
      </c>
      <c r="C59" s="690">
        <v>15</v>
      </c>
      <c r="D59" s="712" t="s">
        <v>737</v>
      </c>
      <c r="E59" s="660" t="s">
        <v>668</v>
      </c>
      <c r="F59" s="541">
        <v>11.3</v>
      </c>
    </row>
    <row r="60" spans="1:6" ht="21" x14ac:dyDescent="0.4">
      <c r="A60" s="661" t="s">
        <v>697</v>
      </c>
      <c r="B60" s="793" t="s">
        <v>668</v>
      </c>
      <c r="C60" s="690">
        <v>7.5</v>
      </c>
      <c r="D60" s="631"/>
      <c r="E60" s="631"/>
      <c r="F60" s="558"/>
    </row>
    <row r="61" spans="1:6" s="72" customFormat="1" ht="18" x14ac:dyDescent="0.25">
      <c r="A61" s="789" t="s">
        <v>306</v>
      </c>
      <c r="B61" s="552"/>
      <c r="C61" s="655">
        <f>SUM(C62:C62)</f>
        <v>22.5</v>
      </c>
      <c r="D61" s="551"/>
      <c r="E61" s="554"/>
      <c r="F61" s="553">
        <f>SUM(F62:F63)</f>
        <v>37.5</v>
      </c>
    </row>
    <row r="62" spans="1:6" s="72" customFormat="1" ht="21" x14ac:dyDescent="0.4">
      <c r="A62" s="705" t="s">
        <v>697</v>
      </c>
      <c r="B62" s="771" t="s">
        <v>2</v>
      </c>
      <c r="C62" s="585">
        <v>22.5</v>
      </c>
      <c r="D62" s="772" t="s">
        <v>770</v>
      </c>
      <c r="E62" s="129" t="s">
        <v>670</v>
      </c>
      <c r="F62" s="677">
        <v>15</v>
      </c>
    </row>
    <row r="63" spans="1:6" s="72" customFormat="1" ht="21" x14ac:dyDescent="0.4">
      <c r="A63" s="705"/>
      <c r="B63" s="771"/>
      <c r="C63" s="585"/>
      <c r="D63" s="680" t="s">
        <v>737</v>
      </c>
      <c r="E63" s="129" t="s">
        <v>668</v>
      </c>
      <c r="F63" s="677">
        <v>22.5</v>
      </c>
    </row>
    <row r="64" spans="1:6" ht="21.6" thickBot="1" x14ac:dyDescent="0.3">
      <c r="A64" s="687" t="s">
        <v>328</v>
      </c>
      <c r="B64" s="290"/>
      <c r="C64" s="607"/>
      <c r="D64" s="61"/>
      <c r="E64" s="608"/>
      <c r="F64" s="607">
        <f>SUM(F65)</f>
        <v>30</v>
      </c>
    </row>
    <row r="65" spans="1:6" ht="21" x14ac:dyDescent="0.4">
      <c r="A65" s="918"/>
      <c r="B65" s="613"/>
      <c r="C65" s="289"/>
      <c r="D65" s="845" t="s">
        <v>859</v>
      </c>
      <c r="E65" s="868" t="s">
        <v>667</v>
      </c>
      <c r="F65" s="917">
        <f>2*15</f>
        <v>30</v>
      </c>
    </row>
    <row r="66" spans="1:6" ht="18" x14ac:dyDescent="0.25">
      <c r="A66" s="276" t="s">
        <v>320</v>
      </c>
      <c r="B66" s="649"/>
      <c r="C66" s="786">
        <f>C2+C11+C19+C27+C31+C36+C44+C50+C57+C61</f>
        <v>1116.8</v>
      </c>
      <c r="D66" s="639"/>
      <c r="E66" s="787"/>
      <c r="F66" s="786">
        <f>F2+F11+F19+F27+F31+F36+F44+F50+F57+F61</f>
        <v>788.34999999999991</v>
      </c>
    </row>
    <row r="67" spans="1:6" ht="18" x14ac:dyDescent="0.25">
      <c r="A67" s="276" t="s">
        <v>321</v>
      </c>
      <c r="B67" s="649"/>
      <c r="C67" s="650">
        <f>C66/(15*35)</f>
        <v>2.1272380952380954</v>
      </c>
      <c r="D67" s="639"/>
      <c r="E67" s="628"/>
      <c r="F67" s="788">
        <f>F66/(15*35)</f>
        <v>1.5016190476190474</v>
      </c>
    </row>
    <row r="68" spans="1:6" ht="18" x14ac:dyDescent="0.25">
      <c r="A68" s="276" t="s">
        <v>322</v>
      </c>
      <c r="B68" s="649"/>
      <c r="C68" s="651">
        <f>(C67+F67)/2</f>
        <v>1.8144285714285715</v>
      </c>
      <c r="D68" s="639"/>
      <c r="E68" s="628"/>
      <c r="F68" s="649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8"/>
  <sheetViews>
    <sheetView workbookViewId="0">
      <selection activeCell="I8" sqref="I8"/>
    </sheetView>
  </sheetViews>
  <sheetFormatPr defaultRowHeight="13.8" x14ac:dyDescent="0.25"/>
  <cols>
    <col min="1" max="1" width="8.796875" style="72"/>
    <col min="2" max="2" width="9.69921875" style="72" customWidth="1"/>
    <col min="3" max="3" width="9.8984375" style="549" customWidth="1"/>
    <col min="4" max="5" width="8.796875" style="72"/>
    <col min="6" max="6" width="10.296875" style="72" bestFit="1" customWidth="1"/>
    <col min="7" max="16384" width="8.796875" style="72"/>
  </cols>
  <sheetData>
    <row r="1" spans="1:6" x14ac:dyDescent="0.25">
      <c r="A1" s="536"/>
      <c r="B1" s="536"/>
      <c r="C1" s="71" t="s">
        <v>512</v>
      </c>
      <c r="F1" s="71" t="s">
        <v>513</v>
      </c>
    </row>
    <row r="2" spans="1:6" x14ac:dyDescent="0.25">
      <c r="A2" s="730" t="s">
        <v>317</v>
      </c>
      <c r="B2" s="578"/>
      <c r="C2" s="652">
        <f>SUM(C3:C3)</f>
        <v>22.5</v>
      </c>
      <c r="D2" s="571"/>
      <c r="E2" s="578"/>
      <c r="F2" s="94">
        <f>SUM(F3:F3)</f>
        <v>22.5</v>
      </c>
    </row>
    <row r="3" spans="1:6" ht="21" x14ac:dyDescent="0.4">
      <c r="A3" s="457" t="s">
        <v>697</v>
      </c>
      <c r="B3" s="729" t="s">
        <v>2</v>
      </c>
      <c r="C3" s="726">
        <v>22.5</v>
      </c>
      <c r="D3" s="457" t="s">
        <v>737</v>
      </c>
      <c r="E3" s="129" t="s">
        <v>668</v>
      </c>
      <c r="F3" s="677">
        <v>22.5</v>
      </c>
    </row>
    <row r="4" spans="1:6" x14ac:dyDescent="0.25">
      <c r="A4" s="730" t="s">
        <v>772</v>
      </c>
      <c r="B4" s="578"/>
      <c r="C4" s="652">
        <f>SUM(C5:C8)</f>
        <v>51</v>
      </c>
      <c r="D4" s="699"/>
      <c r="E4" s="699"/>
      <c r="F4" s="94">
        <f>SUM(F5:F7)</f>
        <v>61.5</v>
      </c>
    </row>
    <row r="5" spans="1:6" ht="21" x14ac:dyDescent="0.4">
      <c r="A5" s="724" t="s">
        <v>688</v>
      </c>
      <c r="B5" s="666" t="s">
        <v>667</v>
      </c>
      <c r="C5" s="753">
        <v>12</v>
      </c>
      <c r="D5" s="457" t="s">
        <v>760</v>
      </c>
      <c r="E5" s="129" t="s">
        <v>667</v>
      </c>
      <c r="F5" s="677">
        <v>24</v>
      </c>
    </row>
    <row r="6" spans="1:6" ht="21" x14ac:dyDescent="0.25">
      <c r="A6" s="724" t="s">
        <v>689</v>
      </c>
      <c r="B6" s="666" t="s">
        <v>667</v>
      </c>
      <c r="C6" s="753">
        <v>12</v>
      </c>
      <c r="D6" s="680" t="s">
        <v>713</v>
      </c>
      <c r="E6" s="703" t="s">
        <v>667</v>
      </c>
      <c r="F6" s="677">
        <v>15</v>
      </c>
    </row>
    <row r="7" spans="1:6" ht="21" x14ac:dyDescent="0.4">
      <c r="A7" s="724" t="s">
        <v>713</v>
      </c>
      <c r="B7" s="660" t="s">
        <v>670</v>
      </c>
      <c r="C7" s="754">
        <v>18</v>
      </c>
      <c r="D7" s="680" t="s">
        <v>713</v>
      </c>
      <c r="E7" s="129" t="s">
        <v>670</v>
      </c>
      <c r="F7" s="677">
        <v>22.5</v>
      </c>
    </row>
    <row r="8" spans="1:6" ht="21" x14ac:dyDescent="0.4">
      <c r="A8" s="705" t="s">
        <v>706</v>
      </c>
      <c r="B8" s="129" t="s">
        <v>702</v>
      </c>
      <c r="C8" s="655">
        <v>9</v>
      </c>
      <c r="D8" s="684"/>
      <c r="E8" s="684"/>
      <c r="F8" s="677"/>
    </row>
    <row r="9" spans="1:6" x14ac:dyDescent="0.25">
      <c r="A9" s="730" t="s">
        <v>773</v>
      </c>
      <c r="B9" s="578"/>
      <c r="C9" s="652"/>
      <c r="D9" s="699"/>
      <c r="E9" s="699"/>
      <c r="F9" s="94">
        <f>SUM(F10:F13)</f>
        <v>66.75</v>
      </c>
    </row>
    <row r="10" spans="1:6" ht="21" x14ac:dyDescent="0.4">
      <c r="A10" s="724"/>
      <c r="B10" s="666"/>
      <c r="C10" s="655"/>
      <c r="D10" s="457" t="s">
        <v>760</v>
      </c>
      <c r="E10" s="129" t="s">
        <v>667</v>
      </c>
      <c r="F10" s="577">
        <v>21</v>
      </c>
    </row>
    <row r="11" spans="1:6" ht="21" x14ac:dyDescent="0.4">
      <c r="A11" s="724"/>
      <c r="B11" s="666"/>
      <c r="C11" s="655"/>
      <c r="D11" s="457" t="s">
        <v>775</v>
      </c>
      <c r="E11" s="129" t="s">
        <v>1</v>
      </c>
      <c r="F11" s="577">
        <v>22.5</v>
      </c>
    </row>
    <row r="12" spans="1:6" ht="21" x14ac:dyDescent="0.4">
      <c r="A12" s="724"/>
      <c r="B12" s="660"/>
      <c r="C12" s="727"/>
      <c r="D12" s="457" t="s">
        <v>756</v>
      </c>
      <c r="E12" s="129" t="s">
        <v>670</v>
      </c>
      <c r="F12" s="577">
        <v>12</v>
      </c>
    </row>
    <row r="13" spans="1:6" ht="21" x14ac:dyDescent="0.4">
      <c r="A13" s="749"/>
      <c r="B13" s="662"/>
      <c r="C13" s="727"/>
      <c r="D13" s="457" t="s">
        <v>737</v>
      </c>
      <c r="E13" s="129" t="s">
        <v>668</v>
      </c>
      <c r="F13" s="543">
        <v>11.25</v>
      </c>
    </row>
    <row r="14" spans="1:6" ht="21" x14ac:dyDescent="0.25">
      <c r="A14" s="871" t="s">
        <v>490</v>
      </c>
      <c r="B14" s="62"/>
      <c r="C14" s="611">
        <f>SUM(C15)</f>
        <v>12</v>
      </c>
      <c r="D14" s="808"/>
      <c r="E14" s="62"/>
      <c r="F14" s="66"/>
    </row>
    <row r="15" spans="1:6" ht="21" x14ac:dyDescent="0.25">
      <c r="A15" s="865" t="s">
        <v>318</v>
      </c>
      <c r="B15" s="866" t="s">
        <v>667</v>
      </c>
      <c r="C15" s="727">
        <v>12</v>
      </c>
      <c r="D15" s="863"/>
      <c r="E15" s="864"/>
      <c r="F15" s="69"/>
    </row>
    <row r="16" spans="1:6" ht="18" x14ac:dyDescent="0.25">
      <c r="A16" s="460" t="s">
        <v>320</v>
      </c>
      <c r="B16" s="85"/>
      <c r="C16" s="872">
        <f>C2+C4+C9+C14</f>
        <v>85.5</v>
      </c>
      <c r="D16" s="100"/>
      <c r="E16" s="86"/>
      <c r="F16" s="873">
        <f>F2+F4+F9+F14</f>
        <v>150.75</v>
      </c>
    </row>
    <row r="17" spans="1:6" ht="18" x14ac:dyDescent="0.25">
      <c r="A17" s="266" t="s">
        <v>321</v>
      </c>
      <c r="B17" s="93"/>
      <c r="C17" s="534">
        <f>C16/(15*35)</f>
        <v>0.16285714285714287</v>
      </c>
      <c r="D17" s="92"/>
      <c r="E17" s="74"/>
      <c r="F17" s="522">
        <f>F16/(15*35)</f>
        <v>0.28714285714285714</v>
      </c>
    </row>
    <row r="18" spans="1:6" ht="18" x14ac:dyDescent="0.25">
      <c r="A18" s="266" t="s">
        <v>322</v>
      </c>
      <c r="B18" s="93"/>
      <c r="C18" s="535">
        <f>(C17+F17)/2</f>
        <v>0.22500000000000001</v>
      </c>
      <c r="D18" s="92"/>
      <c r="E18" s="74"/>
      <c r="F18" s="9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9"/>
  <sheetViews>
    <sheetView workbookViewId="0">
      <selection activeCell="A17" sqref="A17:F19"/>
    </sheetView>
  </sheetViews>
  <sheetFormatPr defaultRowHeight="13.8" x14ac:dyDescent="0.25"/>
  <cols>
    <col min="1" max="1" width="22.69921875" style="72" customWidth="1"/>
    <col min="2" max="2" width="8.796875" style="72"/>
    <col min="3" max="3" width="9.8984375" style="549" customWidth="1"/>
    <col min="4" max="5" width="8.796875" style="72"/>
    <col min="6" max="6" width="10.296875" style="72" bestFit="1" customWidth="1"/>
    <col min="7" max="16384" width="8.796875" style="72"/>
  </cols>
  <sheetData>
    <row r="1" spans="1:6" x14ac:dyDescent="0.25">
      <c r="A1" s="536"/>
      <c r="B1" s="536"/>
      <c r="C1" s="71" t="s">
        <v>512</v>
      </c>
      <c r="F1" s="71" t="s">
        <v>513</v>
      </c>
    </row>
    <row r="2" spans="1:6" x14ac:dyDescent="0.25">
      <c r="A2" s="728" t="s">
        <v>313</v>
      </c>
      <c r="B2" s="74"/>
      <c r="C2" s="347">
        <f>C3</f>
        <v>45</v>
      </c>
      <c r="D2" s="74"/>
      <c r="E2" s="74"/>
      <c r="F2" s="363">
        <f>SUM(F3)</f>
        <v>21</v>
      </c>
    </row>
    <row r="3" spans="1:6" ht="21" x14ac:dyDescent="0.4">
      <c r="A3" s="705" t="s">
        <v>747</v>
      </c>
      <c r="B3" s="116" t="s">
        <v>667</v>
      </c>
      <c r="C3" s="585">
        <f>3*15</f>
        <v>45</v>
      </c>
      <c r="D3" s="724" t="s">
        <v>743</v>
      </c>
      <c r="E3" s="660" t="s">
        <v>667</v>
      </c>
      <c r="F3" s="677">
        <v>21</v>
      </c>
    </row>
    <row r="4" spans="1:6" x14ac:dyDescent="0.25">
      <c r="A4" s="286" t="s">
        <v>311</v>
      </c>
      <c r="B4" s="87"/>
      <c r="C4" s="363">
        <f>SUM(C5)</f>
        <v>21</v>
      </c>
      <c r="D4" s="74"/>
      <c r="E4" s="74"/>
      <c r="F4" s="94"/>
    </row>
    <row r="5" spans="1:6" ht="21" x14ac:dyDescent="0.25">
      <c r="A5" s="712" t="s">
        <v>717</v>
      </c>
      <c r="B5" s="666" t="s">
        <v>667</v>
      </c>
      <c r="C5" s="347">
        <v>21</v>
      </c>
      <c r="D5" s="338"/>
      <c r="E5" s="346"/>
      <c r="F5" s="577"/>
    </row>
    <row r="6" spans="1:6" ht="18" hidden="1" x14ac:dyDescent="0.25">
      <c r="A6" s="551"/>
      <c r="B6" s="706"/>
      <c r="C6" s="585"/>
      <c r="D6" s="563"/>
      <c r="E6" s="582"/>
      <c r="F6" s="564"/>
    </row>
    <row r="7" spans="1:6" ht="18" hidden="1" x14ac:dyDescent="0.25">
      <c r="A7" s="551" t="s">
        <v>306</v>
      </c>
      <c r="B7" s="706"/>
      <c r="C7" s="553">
        <f>SUM(C8)</f>
        <v>0</v>
      </c>
      <c r="D7" s="559"/>
      <c r="E7" s="583"/>
      <c r="F7" s="584"/>
    </row>
    <row r="8" spans="1:6" ht="18" hidden="1" x14ac:dyDescent="0.25">
      <c r="A8" s="551"/>
      <c r="B8" s="706"/>
      <c r="C8" s="585"/>
      <c r="D8" s="559"/>
      <c r="E8" s="583"/>
      <c r="F8" s="584"/>
    </row>
    <row r="9" spans="1:6" ht="18" x14ac:dyDescent="0.25">
      <c r="A9" s="87" t="s">
        <v>308</v>
      </c>
      <c r="B9" s="706"/>
      <c r="C9" s="731">
        <f>SUM(C10:C10)</f>
        <v>3</v>
      </c>
      <c r="D9" s="559"/>
      <c r="E9" s="732"/>
      <c r="F9" s="686">
        <f>SUM(F10)</f>
        <v>30</v>
      </c>
    </row>
    <row r="10" spans="1:6" ht="21" x14ac:dyDescent="0.4">
      <c r="A10" s="457" t="s">
        <v>748</v>
      </c>
      <c r="B10" s="129" t="s">
        <v>667</v>
      </c>
      <c r="C10" s="748">
        <f>3*1</f>
        <v>3</v>
      </c>
      <c r="D10" s="457" t="s">
        <v>751</v>
      </c>
      <c r="E10" s="129" t="s">
        <v>667</v>
      </c>
      <c r="F10" s="101">
        <v>30</v>
      </c>
    </row>
    <row r="11" spans="1:6" ht="18" x14ac:dyDescent="0.25">
      <c r="A11" s="728" t="s">
        <v>310</v>
      </c>
      <c r="B11" s="552"/>
      <c r="C11" s="363">
        <f>SUM(C12:C13)</f>
        <v>33</v>
      </c>
      <c r="D11" s="74"/>
      <c r="E11" s="74"/>
      <c r="F11" s="94">
        <f>SUM(F12)</f>
        <v>9</v>
      </c>
    </row>
    <row r="12" spans="1:6" ht="21" x14ac:dyDescent="0.4">
      <c r="A12" s="716" t="s">
        <v>717</v>
      </c>
      <c r="B12" s="140" t="s">
        <v>667</v>
      </c>
      <c r="C12" s="748">
        <v>21</v>
      </c>
      <c r="D12" s="705" t="s">
        <v>718</v>
      </c>
      <c r="E12" s="129" t="s">
        <v>670</v>
      </c>
      <c r="F12" s="577">
        <v>9</v>
      </c>
    </row>
    <row r="13" spans="1:6" ht="21" x14ac:dyDescent="0.4">
      <c r="A13" s="717" t="s">
        <v>718</v>
      </c>
      <c r="B13" s="129" t="s">
        <v>670</v>
      </c>
      <c r="C13" s="679">
        <v>12</v>
      </c>
      <c r="D13" s="248"/>
      <c r="E13" s="589"/>
      <c r="F13" s="590"/>
    </row>
    <row r="14" spans="1:6" ht="18" hidden="1" x14ac:dyDescent="0.25">
      <c r="A14" s="246"/>
      <c r="B14" s="247"/>
      <c r="C14" s="238"/>
      <c r="D14" s="539"/>
      <c r="E14" s="377"/>
      <c r="F14" s="574"/>
    </row>
    <row r="15" spans="1:6" x14ac:dyDescent="0.25">
      <c r="A15" s="728" t="s">
        <v>312</v>
      </c>
      <c r="B15" s="701"/>
      <c r="C15" s="657"/>
      <c r="D15" s="710"/>
      <c r="E15" s="710"/>
      <c r="F15" s="715">
        <f>SUM(F16)</f>
        <v>15</v>
      </c>
    </row>
    <row r="16" spans="1:6" ht="21" x14ac:dyDescent="0.4">
      <c r="A16" s="711"/>
      <c r="B16" s="666"/>
      <c r="C16" s="713"/>
      <c r="D16" s="457" t="s">
        <v>751</v>
      </c>
      <c r="E16" s="129" t="s">
        <v>667</v>
      </c>
      <c r="F16" s="577">
        <v>15</v>
      </c>
    </row>
    <row r="17" spans="1:6" ht="18" x14ac:dyDescent="0.25">
      <c r="A17" s="276" t="s">
        <v>320</v>
      </c>
      <c r="B17" s="87"/>
      <c r="C17" s="801">
        <f>C2+C4+C9+C11+C15</f>
        <v>102</v>
      </c>
      <c r="D17" s="92"/>
      <c r="E17" s="74"/>
      <c r="F17" s="802">
        <f>F2+F4+F9+F11+F15</f>
        <v>75</v>
      </c>
    </row>
    <row r="18" spans="1:6" ht="18" x14ac:dyDescent="0.25">
      <c r="A18" s="266" t="s">
        <v>321</v>
      </c>
      <c r="B18" s="93"/>
      <c r="C18" s="534">
        <f>C17/(15*35)</f>
        <v>0.19428571428571428</v>
      </c>
      <c r="D18" s="92"/>
      <c r="E18" s="74"/>
      <c r="F18" s="523">
        <f>F17/(15*35)</f>
        <v>0.14285714285714285</v>
      </c>
    </row>
    <row r="19" spans="1:6" ht="18" x14ac:dyDescent="0.25">
      <c r="A19" s="266" t="s">
        <v>322</v>
      </c>
      <c r="B19" s="93"/>
      <c r="C19" s="535">
        <f>(C18+F18)/2</f>
        <v>0.16857142857142857</v>
      </c>
      <c r="D19" s="92"/>
      <c r="E19" s="74"/>
      <c r="F19" s="9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8"/>
  <sheetViews>
    <sheetView workbookViewId="0">
      <selection activeCell="C10" sqref="C10"/>
    </sheetView>
  </sheetViews>
  <sheetFormatPr defaultRowHeight="13.8" x14ac:dyDescent="0.25"/>
  <cols>
    <col min="1" max="1" width="9.5" customWidth="1"/>
    <col min="2" max="2" width="11.19921875" customWidth="1"/>
    <col min="3" max="3" width="10.296875" bestFit="1" customWidth="1"/>
    <col min="6" max="6" width="10.296875" bestFit="1" customWidth="1"/>
  </cols>
  <sheetData>
    <row r="1" spans="1:6" s="72" customFormat="1" x14ac:dyDescent="0.25">
      <c r="A1" s="536"/>
      <c r="B1" s="536"/>
      <c r="C1" s="69" t="s">
        <v>512</v>
      </c>
      <c r="F1" s="69" t="s">
        <v>513</v>
      </c>
    </row>
    <row r="2" spans="1:6" x14ac:dyDescent="0.25">
      <c r="A2" s="730" t="s">
        <v>317</v>
      </c>
      <c r="B2" s="578"/>
      <c r="C2" s="652"/>
      <c r="D2" s="571"/>
      <c r="E2" s="578"/>
      <c r="F2" s="94">
        <f>SUM(F3:F3)</f>
        <v>24</v>
      </c>
    </row>
    <row r="3" spans="1:6" ht="21" x14ac:dyDescent="0.4">
      <c r="A3" s="457"/>
      <c r="B3" s="729"/>
      <c r="C3" s="775"/>
      <c r="D3" s="457" t="s">
        <v>743</v>
      </c>
      <c r="E3" s="129" t="s">
        <v>667</v>
      </c>
      <c r="F3" s="577">
        <v>24</v>
      </c>
    </row>
    <row r="4" spans="1:6" x14ac:dyDescent="0.25">
      <c r="A4" s="730" t="s">
        <v>773</v>
      </c>
      <c r="B4" s="578"/>
      <c r="C4" s="776"/>
      <c r="D4" s="699"/>
      <c r="E4" s="699"/>
      <c r="F4" s="115">
        <f>SUM(F5:F5)</f>
        <v>45</v>
      </c>
    </row>
    <row r="5" spans="1:6" ht="21" x14ac:dyDescent="0.4">
      <c r="A5" s="457"/>
      <c r="B5" s="729"/>
      <c r="C5" s="775"/>
      <c r="D5" s="777" t="s">
        <v>774</v>
      </c>
      <c r="E5" s="660" t="s">
        <v>667</v>
      </c>
      <c r="F5" s="577">
        <v>45</v>
      </c>
    </row>
    <row r="6" spans="1:6" ht="18" x14ac:dyDescent="0.25">
      <c r="A6" s="276" t="s">
        <v>320</v>
      </c>
      <c r="B6" s="87"/>
      <c r="C6" s="801">
        <f>C2+C4</f>
        <v>0</v>
      </c>
      <c r="D6" s="92"/>
      <c r="E6" s="74"/>
      <c r="F6" s="802">
        <f>F2+F4</f>
        <v>69</v>
      </c>
    </row>
    <row r="7" spans="1:6" ht="18" x14ac:dyDescent="0.25">
      <c r="A7" s="266" t="s">
        <v>321</v>
      </c>
      <c r="B7" s="93"/>
      <c r="C7" s="534">
        <f>C6/(15*35)</f>
        <v>0</v>
      </c>
      <c r="D7" s="92"/>
      <c r="E7" s="74"/>
      <c r="F7" s="523">
        <f>F6/(15*35)</f>
        <v>0.13142857142857142</v>
      </c>
    </row>
    <row r="8" spans="1:6" ht="18" x14ac:dyDescent="0.25">
      <c r="A8" s="266" t="s">
        <v>322</v>
      </c>
      <c r="B8" s="93"/>
      <c r="C8" s="535">
        <f>(C7+F7)/2</f>
        <v>6.5714285714285711E-2</v>
      </c>
      <c r="D8" s="92"/>
      <c r="E8" s="74"/>
      <c r="F8" s="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73"/>
  <sheetViews>
    <sheetView topLeftCell="A61" workbookViewId="0">
      <selection activeCell="J69" sqref="J69"/>
    </sheetView>
  </sheetViews>
  <sheetFormatPr defaultRowHeight="13.8" x14ac:dyDescent="0.25"/>
  <cols>
    <col min="1" max="1" width="23.69921875" style="72" bestFit="1" customWidth="1"/>
    <col min="2" max="2" width="9.296875" style="70" customWidth="1"/>
    <col min="3" max="3" width="10.296875" style="549" customWidth="1"/>
    <col min="4" max="4" width="10.296875" style="513" customWidth="1"/>
    <col min="5" max="5" width="9.296875" style="70" customWidth="1"/>
    <col min="6" max="6" width="10.296875" style="549" customWidth="1"/>
    <col min="7" max="16384" width="8.796875" style="72"/>
  </cols>
  <sheetData>
    <row r="1" spans="1:6" x14ac:dyDescent="0.25">
      <c r="A1" s="68"/>
      <c r="B1" s="71"/>
      <c r="C1" s="71" t="s">
        <v>512</v>
      </c>
      <c r="D1" s="253"/>
      <c r="E1" s="71"/>
      <c r="F1" s="71" t="s">
        <v>513</v>
      </c>
    </row>
    <row r="2" spans="1:6" ht="21" x14ac:dyDescent="0.25">
      <c r="A2" s="687" t="s">
        <v>476</v>
      </c>
      <c r="B2" s="62"/>
      <c r="C2" s="621">
        <f>SUM(C3:C7)</f>
        <v>126.375</v>
      </c>
      <c r="D2" s="374"/>
      <c r="E2" s="62"/>
      <c r="F2" s="621">
        <f>SUM(F3:F7)</f>
        <v>99.375</v>
      </c>
    </row>
    <row r="3" spans="1:6" ht="21" x14ac:dyDescent="0.4">
      <c r="A3" s="845" t="s">
        <v>790</v>
      </c>
      <c r="B3" s="824" t="s">
        <v>667</v>
      </c>
      <c r="C3" s="347">
        <v>36</v>
      </c>
      <c r="D3" s="823" t="s">
        <v>790</v>
      </c>
      <c r="E3" s="129" t="s">
        <v>667</v>
      </c>
      <c r="F3" s="347">
        <v>30</v>
      </c>
    </row>
    <row r="4" spans="1:6" ht="21" x14ac:dyDescent="0.4">
      <c r="A4" s="841" t="s">
        <v>433</v>
      </c>
      <c r="B4" s="129" t="s">
        <v>670</v>
      </c>
      <c r="C4" s="347">
        <v>10.5</v>
      </c>
      <c r="D4" s="823" t="s">
        <v>433</v>
      </c>
      <c r="E4" s="129" t="s">
        <v>670</v>
      </c>
      <c r="F4" s="347">
        <v>7.5</v>
      </c>
    </row>
    <row r="5" spans="1:6" ht="21" x14ac:dyDescent="0.4">
      <c r="A5" s="841" t="s">
        <v>435</v>
      </c>
      <c r="B5" s="129" t="s">
        <v>670</v>
      </c>
      <c r="C5" s="347">
        <v>15</v>
      </c>
      <c r="D5" s="823" t="s">
        <v>428</v>
      </c>
      <c r="E5" s="129" t="s">
        <v>668</v>
      </c>
      <c r="F5" s="347">
        <v>39.375</v>
      </c>
    </row>
    <row r="6" spans="1:6" ht="21" x14ac:dyDescent="0.4">
      <c r="A6" s="841" t="s">
        <v>437</v>
      </c>
      <c r="B6" s="129" t="s">
        <v>670</v>
      </c>
      <c r="C6" s="347">
        <v>25.5</v>
      </c>
      <c r="D6" s="823" t="s">
        <v>438</v>
      </c>
      <c r="E6" s="824" t="s">
        <v>670</v>
      </c>
      <c r="F6" s="347">
        <v>22.5</v>
      </c>
    </row>
    <row r="7" spans="1:6" ht="21.6" thickBot="1" x14ac:dyDescent="0.45">
      <c r="A7" s="1066" t="s">
        <v>426</v>
      </c>
      <c r="B7" s="122" t="s">
        <v>668</v>
      </c>
      <c r="C7" s="344">
        <v>39.375</v>
      </c>
      <c r="D7" s="253"/>
      <c r="E7" s="71"/>
      <c r="F7" s="344"/>
    </row>
    <row r="8" spans="1:6" s="80" customFormat="1" x14ac:dyDescent="0.25">
      <c r="A8" s="1092" t="s">
        <v>477</v>
      </c>
      <c r="B8" s="1093"/>
      <c r="C8" s="1106">
        <f>SUM(C9:C11)</f>
        <v>85.5</v>
      </c>
      <c r="D8" s="1094"/>
      <c r="E8" s="1093"/>
      <c r="F8" s="1070">
        <f>SUM(F9:F11)</f>
        <v>112.5</v>
      </c>
    </row>
    <row r="9" spans="1:6" ht="21" x14ac:dyDescent="0.4">
      <c r="A9" s="845" t="s">
        <v>478</v>
      </c>
      <c r="B9" s="824" t="s">
        <v>667</v>
      </c>
      <c r="C9" s="347">
        <v>45</v>
      </c>
      <c r="D9" s="823" t="s">
        <v>794</v>
      </c>
      <c r="E9" s="129" t="s">
        <v>667</v>
      </c>
      <c r="F9" s="347">
        <v>45</v>
      </c>
    </row>
    <row r="10" spans="1:6" ht="21" x14ac:dyDescent="0.4">
      <c r="A10" s="841" t="s">
        <v>801</v>
      </c>
      <c r="B10" s="129" t="s">
        <v>667</v>
      </c>
      <c r="C10" s="347">
        <v>18</v>
      </c>
      <c r="D10" s="823" t="s">
        <v>436</v>
      </c>
      <c r="E10" s="129" t="s">
        <v>667</v>
      </c>
      <c r="F10" s="1011">
        <v>45</v>
      </c>
    </row>
    <row r="11" spans="1:6" ht="21.6" thickBot="1" x14ac:dyDescent="0.45">
      <c r="A11" s="1056" t="s">
        <v>426</v>
      </c>
      <c r="B11" s="1057" t="s">
        <v>668</v>
      </c>
      <c r="C11" s="1058">
        <v>22.5</v>
      </c>
      <c r="D11" s="1059" t="s">
        <v>428</v>
      </c>
      <c r="E11" s="1057" t="s">
        <v>668</v>
      </c>
      <c r="F11" s="1058">
        <v>22.5</v>
      </c>
    </row>
    <row r="12" spans="1:6" x14ac:dyDescent="0.25">
      <c r="A12" s="1114" t="s">
        <v>479</v>
      </c>
      <c r="B12" s="807"/>
      <c r="C12" s="873">
        <f>SUM(C13:C19)</f>
        <v>163.125</v>
      </c>
      <c r="D12" s="1104"/>
      <c r="E12" s="807"/>
      <c r="F12" s="873">
        <f>SUM(F13:F18)</f>
        <v>206.625</v>
      </c>
    </row>
    <row r="13" spans="1:6" ht="21" x14ac:dyDescent="0.4">
      <c r="A13" s="845" t="s">
        <v>480</v>
      </c>
      <c r="B13" s="824" t="s">
        <v>667</v>
      </c>
      <c r="C13" s="347">
        <v>45</v>
      </c>
      <c r="D13" s="823" t="s">
        <v>782</v>
      </c>
      <c r="E13" s="129" t="s">
        <v>667</v>
      </c>
      <c r="F13" s="347">
        <v>90</v>
      </c>
    </row>
    <row r="14" spans="1:6" ht="21" x14ac:dyDescent="0.4">
      <c r="A14" s="845" t="s">
        <v>482</v>
      </c>
      <c r="B14" s="824" t="s">
        <v>667</v>
      </c>
      <c r="C14" s="347">
        <v>45</v>
      </c>
      <c r="D14" s="823" t="s">
        <v>481</v>
      </c>
      <c r="E14" s="129" t="s">
        <v>667</v>
      </c>
      <c r="F14" s="347">
        <v>21</v>
      </c>
    </row>
    <row r="15" spans="1:6" ht="21" x14ac:dyDescent="0.4">
      <c r="A15" s="841" t="s">
        <v>433</v>
      </c>
      <c r="B15" s="129" t="s">
        <v>670</v>
      </c>
      <c r="C15" s="347">
        <v>10.5</v>
      </c>
      <c r="D15" s="823" t="s">
        <v>483</v>
      </c>
      <c r="E15" s="129" t="s">
        <v>667</v>
      </c>
      <c r="F15" s="347">
        <v>45</v>
      </c>
    </row>
    <row r="16" spans="1:6" ht="21" x14ac:dyDescent="0.4">
      <c r="A16" s="841" t="s">
        <v>800</v>
      </c>
      <c r="B16" s="129" t="s">
        <v>670</v>
      </c>
      <c r="C16" s="347">
        <v>15</v>
      </c>
      <c r="D16" s="823" t="s">
        <v>433</v>
      </c>
      <c r="E16" s="129" t="s">
        <v>670</v>
      </c>
      <c r="F16" s="347">
        <v>16.5</v>
      </c>
    </row>
    <row r="17" spans="1:6" ht="21" x14ac:dyDescent="0.4">
      <c r="A17" s="841" t="s">
        <v>424</v>
      </c>
      <c r="B17" s="129" t="s">
        <v>670</v>
      </c>
      <c r="C17" s="347">
        <v>6</v>
      </c>
      <c r="D17" s="823" t="s">
        <v>781</v>
      </c>
      <c r="E17" s="129" t="s">
        <v>670</v>
      </c>
      <c r="F17" s="347">
        <v>6</v>
      </c>
    </row>
    <row r="18" spans="1:6" ht="21" x14ac:dyDescent="0.4">
      <c r="A18" s="841" t="s">
        <v>427</v>
      </c>
      <c r="B18" s="129" t="s">
        <v>670</v>
      </c>
      <c r="C18" s="347">
        <v>13.5</v>
      </c>
      <c r="D18" s="823" t="s">
        <v>428</v>
      </c>
      <c r="E18" s="129" t="s">
        <v>668</v>
      </c>
      <c r="F18" s="347">
        <v>28.125</v>
      </c>
    </row>
    <row r="19" spans="1:6" ht="21.6" thickBot="1" x14ac:dyDescent="0.45">
      <c r="A19" s="1066" t="s">
        <v>426</v>
      </c>
      <c r="B19" s="122" t="s">
        <v>668</v>
      </c>
      <c r="C19" s="1098">
        <v>28.125</v>
      </c>
      <c r="D19" s="998"/>
      <c r="E19" s="122"/>
      <c r="F19" s="344"/>
    </row>
    <row r="20" spans="1:6" ht="21" x14ac:dyDescent="0.25">
      <c r="A20" s="1092" t="s">
        <v>484</v>
      </c>
      <c r="B20" s="1119"/>
      <c r="C20" s="1120">
        <f>SUM(C21:C27)</f>
        <v>183</v>
      </c>
      <c r="D20" s="1121"/>
      <c r="E20" s="1119"/>
      <c r="F20" s="1120">
        <f>SUM(F21:F26)</f>
        <v>241.5</v>
      </c>
    </row>
    <row r="21" spans="1:6" ht="21" x14ac:dyDescent="0.4">
      <c r="A21" s="845" t="s">
        <v>442</v>
      </c>
      <c r="B21" s="824" t="s">
        <v>667</v>
      </c>
      <c r="C21" s="727">
        <v>30</v>
      </c>
      <c r="D21" s="823" t="s">
        <v>466</v>
      </c>
      <c r="E21" s="129" t="s">
        <v>667</v>
      </c>
      <c r="F21" s="727">
        <v>90</v>
      </c>
    </row>
    <row r="22" spans="1:6" ht="21" x14ac:dyDescent="0.4">
      <c r="A22" s="845" t="s">
        <v>486</v>
      </c>
      <c r="B22" s="824" t="s">
        <v>667</v>
      </c>
      <c r="C22" s="727">
        <v>24</v>
      </c>
      <c r="D22" s="823" t="s">
        <v>487</v>
      </c>
      <c r="E22" s="129" t="s">
        <v>667</v>
      </c>
      <c r="F22" s="727">
        <v>45</v>
      </c>
    </row>
    <row r="23" spans="1:6" ht="21" x14ac:dyDescent="0.4">
      <c r="A23" s="845" t="s">
        <v>466</v>
      </c>
      <c r="B23" s="824" t="s">
        <v>667</v>
      </c>
      <c r="C23" s="727">
        <v>21</v>
      </c>
      <c r="D23" s="823" t="s">
        <v>433</v>
      </c>
      <c r="E23" s="129" t="s">
        <v>670</v>
      </c>
      <c r="F23" s="727">
        <v>28.5</v>
      </c>
    </row>
    <row r="24" spans="1:6" ht="21" x14ac:dyDescent="0.4">
      <c r="A24" s="841" t="s">
        <v>433</v>
      </c>
      <c r="B24" s="129" t="s">
        <v>670</v>
      </c>
      <c r="C24" s="727">
        <v>45</v>
      </c>
      <c r="D24" s="823" t="s">
        <v>434</v>
      </c>
      <c r="E24" s="129" t="s">
        <v>670</v>
      </c>
      <c r="F24" s="727">
        <v>43.5</v>
      </c>
    </row>
    <row r="25" spans="1:6" ht="21" x14ac:dyDescent="0.4">
      <c r="A25" s="841" t="s">
        <v>437</v>
      </c>
      <c r="B25" s="129" t="s">
        <v>670</v>
      </c>
      <c r="C25" s="727">
        <v>27</v>
      </c>
      <c r="D25" s="823" t="s">
        <v>781</v>
      </c>
      <c r="E25" s="129" t="s">
        <v>670</v>
      </c>
      <c r="F25" s="727">
        <v>12</v>
      </c>
    </row>
    <row r="26" spans="1:6" ht="21" x14ac:dyDescent="0.4">
      <c r="A26" s="841" t="s">
        <v>424</v>
      </c>
      <c r="B26" s="129" t="s">
        <v>670</v>
      </c>
      <c r="C26" s="727">
        <v>13.5</v>
      </c>
      <c r="D26" s="823" t="s">
        <v>428</v>
      </c>
      <c r="E26" s="129" t="s">
        <v>668</v>
      </c>
      <c r="F26" s="727">
        <v>22.5</v>
      </c>
    </row>
    <row r="27" spans="1:6" ht="21.6" thickBot="1" x14ac:dyDescent="0.45">
      <c r="A27" s="1056" t="s">
        <v>426</v>
      </c>
      <c r="B27" s="1057" t="s">
        <v>668</v>
      </c>
      <c r="C27" s="1122">
        <v>22.5</v>
      </c>
      <c r="D27" s="1059"/>
      <c r="E27" s="1057"/>
      <c r="F27" s="1123"/>
    </row>
    <row r="28" spans="1:6" ht="21" x14ac:dyDescent="0.25">
      <c r="A28" s="1060" t="s">
        <v>779</v>
      </c>
      <c r="B28" s="60"/>
      <c r="C28" s="1115">
        <f>SUM(C29:C35)</f>
        <v>124.125</v>
      </c>
      <c r="D28" s="1116"/>
      <c r="E28" s="60"/>
      <c r="F28" s="1115">
        <f>SUM(F29:F35)</f>
        <v>164.625</v>
      </c>
    </row>
    <row r="29" spans="1:6" ht="21" x14ac:dyDescent="0.4">
      <c r="A29" s="845" t="s">
        <v>442</v>
      </c>
      <c r="B29" s="824" t="s">
        <v>667</v>
      </c>
      <c r="C29" s="347">
        <v>30</v>
      </c>
      <c r="D29" s="457" t="s">
        <v>778</v>
      </c>
      <c r="E29" s="116" t="s">
        <v>667</v>
      </c>
      <c r="F29" s="347">
        <v>45</v>
      </c>
    </row>
    <row r="30" spans="1:6" ht="21" x14ac:dyDescent="0.4">
      <c r="A30" s="841" t="s">
        <v>488</v>
      </c>
      <c r="B30" s="129" t="s">
        <v>667</v>
      </c>
      <c r="C30" s="347">
        <v>45</v>
      </c>
      <c r="D30" s="457" t="s">
        <v>442</v>
      </c>
      <c r="E30" s="116" t="s">
        <v>667</v>
      </c>
      <c r="F30" s="347">
        <v>30</v>
      </c>
    </row>
    <row r="31" spans="1:6" ht="21" x14ac:dyDescent="0.4">
      <c r="A31" s="841" t="s">
        <v>433</v>
      </c>
      <c r="B31" s="129" t="s">
        <v>670</v>
      </c>
      <c r="C31" s="347">
        <v>15</v>
      </c>
      <c r="D31" s="823" t="s">
        <v>489</v>
      </c>
      <c r="E31" s="129" t="s">
        <v>667</v>
      </c>
      <c r="F31" s="347">
        <v>45</v>
      </c>
    </row>
    <row r="32" spans="1:6" ht="21" x14ac:dyDescent="0.4">
      <c r="A32" s="841" t="s">
        <v>435</v>
      </c>
      <c r="B32" s="129" t="s">
        <v>670</v>
      </c>
      <c r="C32" s="347">
        <v>15</v>
      </c>
      <c r="D32" s="823" t="s">
        <v>433</v>
      </c>
      <c r="E32" s="129" t="s">
        <v>670</v>
      </c>
      <c r="F32" s="347">
        <v>12</v>
      </c>
    </row>
    <row r="33" spans="1:6" ht="21" x14ac:dyDescent="0.4">
      <c r="A33" s="841" t="s">
        <v>437</v>
      </c>
      <c r="B33" s="129" t="s">
        <v>670</v>
      </c>
      <c r="C33" s="347">
        <v>13.5</v>
      </c>
      <c r="D33" s="823" t="s">
        <v>444</v>
      </c>
      <c r="E33" s="129" t="s">
        <v>670</v>
      </c>
      <c r="F33" s="347">
        <v>18</v>
      </c>
    </row>
    <row r="34" spans="1:6" ht="21" x14ac:dyDescent="0.4">
      <c r="A34" s="841" t="s">
        <v>426</v>
      </c>
      <c r="B34" s="129" t="s">
        <v>668</v>
      </c>
      <c r="C34" s="1011">
        <v>5.625</v>
      </c>
      <c r="D34" s="823" t="s">
        <v>427</v>
      </c>
      <c r="E34" s="129" t="s">
        <v>670</v>
      </c>
      <c r="F34" s="347">
        <v>9</v>
      </c>
    </row>
    <row r="35" spans="1:6" ht="21.6" thickBot="1" x14ac:dyDescent="0.45">
      <c r="A35" s="1015"/>
      <c r="B35" s="71"/>
      <c r="C35" s="344"/>
      <c r="D35" s="998" t="s">
        <v>428</v>
      </c>
      <c r="E35" s="122" t="s">
        <v>668</v>
      </c>
      <c r="F35" s="1098">
        <v>5.625</v>
      </c>
    </row>
    <row r="36" spans="1:6" ht="21" x14ac:dyDescent="0.25">
      <c r="A36" s="1068" t="s">
        <v>490</v>
      </c>
      <c r="B36" s="1119"/>
      <c r="C36" s="1124">
        <f>SUM(C37:C43)</f>
        <v>151.125</v>
      </c>
      <c r="D36" s="1125"/>
      <c r="E36" s="1119"/>
      <c r="F36" s="1124">
        <f>SUM(F37:F43)</f>
        <v>197.625</v>
      </c>
    </row>
    <row r="37" spans="1:6" ht="21" x14ac:dyDescent="0.4">
      <c r="A37" s="823" t="s">
        <v>797</v>
      </c>
      <c r="B37" s="824" t="s">
        <v>667</v>
      </c>
      <c r="C37" s="347">
        <v>45</v>
      </c>
      <c r="D37" s="457" t="s">
        <v>491</v>
      </c>
      <c r="E37" s="116" t="s">
        <v>667</v>
      </c>
      <c r="F37" s="347">
        <v>45</v>
      </c>
    </row>
    <row r="38" spans="1:6" ht="21" x14ac:dyDescent="0.4">
      <c r="A38" s="823" t="s">
        <v>433</v>
      </c>
      <c r="B38" s="129" t="s">
        <v>670</v>
      </c>
      <c r="C38" s="347">
        <v>31.5</v>
      </c>
      <c r="D38" s="823" t="s">
        <v>492</v>
      </c>
      <c r="E38" s="129" t="s">
        <v>667</v>
      </c>
      <c r="F38" s="347">
        <v>45</v>
      </c>
    </row>
    <row r="39" spans="1:6" ht="21" x14ac:dyDescent="0.4">
      <c r="A39" s="823" t="s">
        <v>437</v>
      </c>
      <c r="B39" s="129" t="s">
        <v>670</v>
      </c>
      <c r="C39" s="347">
        <v>27</v>
      </c>
      <c r="D39" s="823" t="s">
        <v>433</v>
      </c>
      <c r="E39" s="129" t="s">
        <v>670</v>
      </c>
      <c r="F39" s="347">
        <v>28.5</v>
      </c>
    </row>
    <row r="40" spans="1:6" ht="21" x14ac:dyDescent="0.4">
      <c r="A40" s="823" t="s">
        <v>424</v>
      </c>
      <c r="B40" s="129" t="s">
        <v>670</v>
      </c>
      <c r="C40" s="347">
        <v>19.5</v>
      </c>
      <c r="D40" s="823" t="s">
        <v>434</v>
      </c>
      <c r="E40" s="129" t="s">
        <v>670</v>
      </c>
      <c r="F40" s="347">
        <v>30</v>
      </c>
    </row>
    <row r="41" spans="1:6" ht="21" x14ac:dyDescent="0.4">
      <c r="A41" s="823" t="s">
        <v>426</v>
      </c>
      <c r="B41" s="129" t="s">
        <v>668</v>
      </c>
      <c r="C41" s="1011">
        <v>28.125</v>
      </c>
      <c r="D41" s="823" t="s">
        <v>427</v>
      </c>
      <c r="E41" s="129" t="s">
        <v>670</v>
      </c>
      <c r="F41" s="347">
        <v>6</v>
      </c>
    </row>
    <row r="42" spans="1:6" ht="21" x14ac:dyDescent="0.4">
      <c r="A42" s="75"/>
      <c r="B42" s="71"/>
      <c r="C42" s="344"/>
      <c r="D42" s="823" t="s">
        <v>425</v>
      </c>
      <c r="E42" s="129" t="s">
        <v>670</v>
      </c>
      <c r="F42" s="347">
        <v>15</v>
      </c>
    </row>
    <row r="43" spans="1:6" ht="21.6" thickBot="1" x14ac:dyDescent="0.45">
      <c r="A43" s="1126"/>
      <c r="B43" s="1084"/>
      <c r="C43" s="1127"/>
      <c r="D43" s="1059" t="s">
        <v>428</v>
      </c>
      <c r="E43" s="1057" t="s">
        <v>668</v>
      </c>
      <c r="F43" s="1128">
        <v>28.125</v>
      </c>
    </row>
    <row r="44" spans="1:6" x14ac:dyDescent="0.25">
      <c r="A44" s="1099" t="s">
        <v>493</v>
      </c>
      <c r="B44" s="819"/>
      <c r="C44" s="704">
        <f>SUM(C45:C50)</f>
        <v>165</v>
      </c>
      <c r="D44" s="1104"/>
      <c r="E44" s="819"/>
      <c r="F44" s="704">
        <f>SUM(F45:F51)</f>
        <v>174.375</v>
      </c>
    </row>
    <row r="45" spans="1:6" ht="21" x14ac:dyDescent="0.4">
      <c r="A45" s="999" t="s">
        <v>443</v>
      </c>
      <c r="B45" s="824" t="s">
        <v>667</v>
      </c>
      <c r="C45" s="347">
        <f>3*8</f>
        <v>24</v>
      </c>
      <c r="D45" s="457" t="s">
        <v>494</v>
      </c>
      <c r="E45" s="116" t="s">
        <v>667</v>
      </c>
      <c r="F45" s="347">
        <v>45</v>
      </c>
    </row>
    <row r="46" spans="1:6" ht="21" x14ac:dyDescent="0.4">
      <c r="A46" s="823" t="s">
        <v>798</v>
      </c>
      <c r="B46" s="129" t="s">
        <v>667</v>
      </c>
      <c r="C46" s="347">
        <f>3*15</f>
        <v>45</v>
      </c>
      <c r="D46" s="823" t="s">
        <v>481</v>
      </c>
      <c r="E46" s="129" t="s">
        <v>667</v>
      </c>
      <c r="F46" s="347">
        <v>42</v>
      </c>
    </row>
    <row r="47" spans="1:6" ht="21" x14ac:dyDescent="0.4">
      <c r="A47" s="823" t="s">
        <v>433</v>
      </c>
      <c r="B47" s="129" t="s">
        <v>670</v>
      </c>
      <c r="C47" s="347">
        <f>3*4/2</f>
        <v>6</v>
      </c>
      <c r="D47" s="823" t="s">
        <v>433</v>
      </c>
      <c r="E47" s="129" t="s">
        <v>670</v>
      </c>
      <c r="F47" s="347">
        <v>10.5</v>
      </c>
    </row>
    <row r="48" spans="1:6" ht="21" x14ac:dyDescent="0.4">
      <c r="A48" s="823" t="s">
        <v>435</v>
      </c>
      <c r="B48" s="129" t="s">
        <v>670</v>
      </c>
      <c r="C48" s="347">
        <f>(12*4+6+3)/2</f>
        <v>28.5</v>
      </c>
      <c r="D48" s="823" t="s">
        <v>444</v>
      </c>
      <c r="E48" s="129" t="s">
        <v>670</v>
      </c>
      <c r="F48" s="347">
        <v>15</v>
      </c>
    </row>
    <row r="49" spans="1:6" ht="21" x14ac:dyDescent="0.4">
      <c r="A49" s="823" t="s">
        <v>437</v>
      </c>
      <c r="B49" s="129" t="s">
        <v>670</v>
      </c>
      <c r="C49" s="347">
        <f>3*11/2</f>
        <v>16.5</v>
      </c>
      <c r="D49" s="823" t="s">
        <v>427</v>
      </c>
      <c r="E49" s="129" t="s">
        <v>670</v>
      </c>
      <c r="F49" s="347">
        <v>25.5</v>
      </c>
    </row>
    <row r="50" spans="1:6" ht="21" x14ac:dyDescent="0.4">
      <c r="A50" s="823" t="s">
        <v>424</v>
      </c>
      <c r="B50" s="129" t="s">
        <v>670</v>
      </c>
      <c r="C50" s="347">
        <f>6*15/2</f>
        <v>45</v>
      </c>
      <c r="D50" s="823" t="s">
        <v>425</v>
      </c>
      <c r="E50" s="129" t="s">
        <v>670</v>
      </c>
      <c r="F50" s="347">
        <v>19.5</v>
      </c>
    </row>
    <row r="51" spans="1:6" ht="21.6" thickBot="1" x14ac:dyDescent="0.45">
      <c r="A51" s="998" t="s">
        <v>426</v>
      </c>
      <c r="B51" s="122" t="s">
        <v>668</v>
      </c>
      <c r="C51" s="344"/>
      <c r="D51" s="998" t="s">
        <v>428</v>
      </c>
      <c r="E51" s="122" t="s">
        <v>668</v>
      </c>
      <c r="F51" s="344">
        <v>16.875</v>
      </c>
    </row>
    <row r="52" spans="1:6" ht="21" x14ac:dyDescent="0.6">
      <c r="A52" s="1129" t="s">
        <v>495</v>
      </c>
      <c r="B52" s="1130"/>
      <c r="C52" s="1101">
        <f>SUM(C53:C55)</f>
        <v>45.75</v>
      </c>
      <c r="D52" s="1131"/>
      <c r="E52" s="1130"/>
      <c r="F52" s="1101">
        <f>SUM(F53:F56)</f>
        <v>90</v>
      </c>
    </row>
    <row r="53" spans="1:6" ht="21" x14ac:dyDescent="0.4">
      <c r="A53" s="999" t="s">
        <v>486</v>
      </c>
      <c r="B53" s="824" t="s">
        <v>667</v>
      </c>
      <c r="C53" s="347">
        <v>21</v>
      </c>
      <c r="D53" s="457" t="s">
        <v>792</v>
      </c>
      <c r="E53" s="116" t="s">
        <v>667</v>
      </c>
      <c r="F53" s="347">
        <v>45</v>
      </c>
    </row>
    <row r="54" spans="1:6" ht="21" x14ac:dyDescent="0.4">
      <c r="A54" s="823" t="s">
        <v>437</v>
      </c>
      <c r="B54" s="129" t="s">
        <v>670</v>
      </c>
      <c r="C54" s="347">
        <v>13.5</v>
      </c>
      <c r="D54" s="823" t="s">
        <v>496</v>
      </c>
      <c r="E54" s="129" t="s">
        <v>667</v>
      </c>
      <c r="F54" s="347">
        <v>21</v>
      </c>
    </row>
    <row r="55" spans="1:6" ht="21" x14ac:dyDescent="0.4">
      <c r="A55" s="823" t="s">
        <v>426</v>
      </c>
      <c r="B55" s="129" t="s">
        <v>668</v>
      </c>
      <c r="C55" s="347">
        <v>11.25</v>
      </c>
      <c r="D55" s="823" t="s">
        <v>427</v>
      </c>
      <c r="E55" s="129" t="s">
        <v>670</v>
      </c>
      <c r="F55" s="347">
        <v>9</v>
      </c>
    </row>
    <row r="56" spans="1:6" ht="24" thickBot="1" x14ac:dyDescent="0.65">
      <c r="A56" s="1132"/>
      <c r="B56" s="1133"/>
      <c r="C56" s="1058"/>
      <c r="D56" s="1059" t="s">
        <v>452</v>
      </c>
      <c r="E56" s="1057" t="s">
        <v>668</v>
      </c>
      <c r="F56" s="1058">
        <v>15</v>
      </c>
    </row>
    <row r="57" spans="1:6" ht="21" x14ac:dyDescent="0.6">
      <c r="A57" s="1117" t="s">
        <v>785</v>
      </c>
      <c r="B57" s="1037"/>
      <c r="C57" s="704">
        <f>SUM(C58:C59)</f>
        <v>37.5</v>
      </c>
      <c r="D57" s="377"/>
      <c r="E57" s="1037"/>
      <c r="F57" s="704">
        <f>SUM(F58:F61)</f>
        <v>100.5</v>
      </c>
    </row>
    <row r="58" spans="1:6" ht="21" x14ac:dyDescent="0.4">
      <c r="A58" s="999" t="s">
        <v>442</v>
      </c>
      <c r="B58" s="824" t="s">
        <v>667</v>
      </c>
      <c r="C58" s="347">
        <v>15</v>
      </c>
      <c r="D58" s="457" t="s">
        <v>430</v>
      </c>
      <c r="E58" s="116" t="s">
        <v>667</v>
      </c>
      <c r="F58" s="347">
        <v>24</v>
      </c>
    </row>
    <row r="59" spans="1:6" ht="21" x14ac:dyDescent="0.4">
      <c r="A59" s="823" t="s">
        <v>437</v>
      </c>
      <c r="B59" s="129" t="s">
        <v>670</v>
      </c>
      <c r="C59" s="347">
        <v>22.5</v>
      </c>
      <c r="D59" s="823" t="s">
        <v>432</v>
      </c>
      <c r="E59" s="129" t="s">
        <v>667</v>
      </c>
      <c r="F59" s="347">
        <v>21</v>
      </c>
    </row>
    <row r="60" spans="1:6" ht="23.4" x14ac:dyDescent="0.6">
      <c r="A60" s="389"/>
      <c r="B60" s="387"/>
      <c r="C60" s="344"/>
      <c r="D60" s="823" t="s">
        <v>433</v>
      </c>
      <c r="E60" s="129" t="s">
        <v>670</v>
      </c>
      <c r="F60" s="347">
        <v>25.5</v>
      </c>
    </row>
    <row r="61" spans="1:6" ht="24" thickBot="1" x14ac:dyDescent="0.65">
      <c r="A61" s="389"/>
      <c r="B61" s="1038"/>
      <c r="C61" s="332"/>
      <c r="D61" s="998" t="s">
        <v>434</v>
      </c>
      <c r="E61" s="122" t="s">
        <v>670</v>
      </c>
      <c r="F61" s="344">
        <v>30</v>
      </c>
    </row>
    <row r="62" spans="1:6" ht="21" x14ac:dyDescent="0.6">
      <c r="A62" s="1129" t="s">
        <v>787</v>
      </c>
      <c r="B62" s="1130"/>
      <c r="C62" s="1134">
        <f>SUM(C63:C66)</f>
        <v>80.625</v>
      </c>
      <c r="D62" s="1131"/>
      <c r="E62" s="1130"/>
      <c r="F62" s="1134">
        <f>SUM(F63:F64)</f>
        <v>29.625</v>
      </c>
    </row>
    <row r="63" spans="1:6" ht="21" x14ac:dyDescent="0.4">
      <c r="A63" s="999" t="s">
        <v>442</v>
      </c>
      <c r="B63" s="824" t="s">
        <v>667</v>
      </c>
      <c r="C63" s="347">
        <v>15</v>
      </c>
      <c r="D63" s="457" t="s">
        <v>442</v>
      </c>
      <c r="E63" s="116" t="s">
        <v>667</v>
      </c>
      <c r="F63" s="347">
        <v>24</v>
      </c>
    </row>
    <row r="64" spans="1:6" ht="21" x14ac:dyDescent="0.4">
      <c r="A64" s="999" t="s">
        <v>806</v>
      </c>
      <c r="B64" s="824" t="s">
        <v>667</v>
      </c>
      <c r="C64" s="347">
        <v>45</v>
      </c>
      <c r="D64" s="823" t="s">
        <v>428</v>
      </c>
      <c r="E64" s="129" t="s">
        <v>668</v>
      </c>
      <c r="F64" s="347">
        <v>5.625</v>
      </c>
    </row>
    <row r="65" spans="1:6" ht="21" x14ac:dyDescent="0.4">
      <c r="A65" s="999" t="s">
        <v>435</v>
      </c>
      <c r="B65" s="824" t="s">
        <v>670</v>
      </c>
      <c r="C65" s="347">
        <v>15</v>
      </c>
      <c r="D65" s="457"/>
      <c r="E65" s="116"/>
      <c r="F65" s="347"/>
    </row>
    <row r="66" spans="1:6" ht="21.6" thickBot="1" x14ac:dyDescent="0.45">
      <c r="A66" s="1059" t="s">
        <v>426</v>
      </c>
      <c r="B66" s="1057" t="s">
        <v>668</v>
      </c>
      <c r="C66" s="1128">
        <v>5.625</v>
      </c>
      <c r="D66" s="1059"/>
      <c r="E66" s="1057"/>
      <c r="F66" s="1058"/>
    </row>
    <row r="67" spans="1:6" ht="21" x14ac:dyDescent="0.6">
      <c r="A67" s="1118" t="s">
        <v>789</v>
      </c>
      <c r="B67" s="1037"/>
      <c r="C67" s="704"/>
      <c r="D67" s="377"/>
      <c r="E67" s="1037"/>
      <c r="F67" s="704">
        <f>SUM(F68:F70)</f>
        <v>79.5</v>
      </c>
    </row>
    <row r="68" spans="1:6" ht="21" x14ac:dyDescent="0.6">
      <c r="A68" s="388"/>
      <c r="B68" s="387"/>
      <c r="C68" s="344"/>
      <c r="D68" s="457" t="s">
        <v>442</v>
      </c>
      <c r="E68" s="116" t="s">
        <v>667</v>
      </c>
      <c r="F68" s="347">
        <v>36</v>
      </c>
    </row>
    <row r="69" spans="1:6" ht="23.4" x14ac:dyDescent="0.6">
      <c r="A69" s="389"/>
      <c r="B69" s="1038"/>
      <c r="C69" s="332"/>
      <c r="D69" s="823" t="s">
        <v>433</v>
      </c>
      <c r="E69" s="129" t="s">
        <v>670</v>
      </c>
      <c r="F69" s="347">
        <v>21</v>
      </c>
    </row>
    <row r="70" spans="1:6" ht="24" thickBot="1" x14ac:dyDescent="0.65">
      <c r="A70" s="1132"/>
      <c r="B70" s="1136"/>
      <c r="C70" s="1096"/>
      <c r="D70" s="1059" t="s">
        <v>425</v>
      </c>
      <c r="E70" s="1057" t="s">
        <v>670</v>
      </c>
      <c r="F70" s="1058">
        <v>22.5</v>
      </c>
    </row>
    <row r="71" spans="1:6" ht="18" x14ac:dyDescent="0.25">
      <c r="A71" s="460" t="s">
        <v>320</v>
      </c>
      <c r="B71" s="1109"/>
      <c r="C71" s="1135">
        <f>C2+C8+C12+C20+C28+C36+C44+C52+C57+C62+C67</f>
        <v>1162.125</v>
      </c>
      <c r="D71" s="1111"/>
      <c r="E71" s="1109"/>
      <c r="F71" s="1135">
        <f>F2+F8+F12+F20+F28+F36+F44+F52+F57+F62+F67</f>
        <v>1496.25</v>
      </c>
    </row>
    <row r="72" spans="1:6" ht="18" x14ac:dyDescent="0.25">
      <c r="A72" s="266" t="s">
        <v>321</v>
      </c>
      <c r="B72" s="390"/>
      <c r="C72" s="598">
        <f>C71/(15*35)</f>
        <v>2.2135714285714285</v>
      </c>
      <c r="D72" s="599"/>
      <c r="E72" s="390"/>
      <c r="F72" s="598">
        <f>F71/(15*35)</f>
        <v>2.85</v>
      </c>
    </row>
    <row r="73" spans="1:6" ht="18" x14ac:dyDescent="0.25">
      <c r="A73" s="266" t="s">
        <v>322</v>
      </c>
      <c r="B73" s="390"/>
      <c r="C73" s="600">
        <f>(C72+F72)/2</f>
        <v>2.5317857142857143</v>
      </c>
      <c r="D73" s="338"/>
      <c r="E73" s="390"/>
      <c r="F73" s="347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8"/>
  <sheetViews>
    <sheetView workbookViewId="0">
      <selection activeCell="J17" sqref="J17"/>
    </sheetView>
  </sheetViews>
  <sheetFormatPr defaultRowHeight="13.8" x14ac:dyDescent="0.25"/>
  <cols>
    <col min="1" max="1" width="22.69921875" style="72" customWidth="1"/>
    <col min="2" max="2" width="8.796875" style="70"/>
    <col min="3" max="3" width="9.8984375" style="549" customWidth="1"/>
    <col min="4" max="5" width="8.796875" style="72"/>
    <col min="6" max="6" width="10.296875" style="72" bestFit="1" customWidth="1"/>
    <col min="7" max="16384" width="8.796875" style="72"/>
  </cols>
  <sheetData>
    <row r="1" spans="1:6" x14ac:dyDescent="0.25">
      <c r="A1" s="536"/>
      <c r="B1" s="536"/>
      <c r="C1" s="71" t="s">
        <v>512</v>
      </c>
      <c r="F1" s="71" t="s">
        <v>513</v>
      </c>
    </row>
    <row r="2" spans="1:6" ht="18" x14ac:dyDescent="0.25">
      <c r="A2" s="276" t="s">
        <v>306</v>
      </c>
      <c r="B2" s="735"/>
      <c r="C2" s="731">
        <f>SUM(C3)</f>
        <v>45</v>
      </c>
      <c r="D2" s="767"/>
      <c r="E2" s="768"/>
      <c r="F2" s="769">
        <f>SUM(F3)</f>
        <v>15</v>
      </c>
    </row>
    <row r="3" spans="1:6" ht="21" x14ac:dyDescent="0.4">
      <c r="A3" s="733" t="s">
        <v>769</v>
      </c>
      <c r="B3" s="735" t="s">
        <v>3</v>
      </c>
      <c r="C3" s="585">
        <f>3*15</f>
        <v>45</v>
      </c>
      <c r="D3" s="680" t="s">
        <v>744</v>
      </c>
      <c r="E3" s="129" t="s">
        <v>667</v>
      </c>
      <c r="F3" s="770">
        <v>15</v>
      </c>
    </row>
    <row r="4" spans="1:6" ht="18" hidden="1" x14ac:dyDescent="0.25">
      <c r="A4" s="87" t="s">
        <v>308</v>
      </c>
      <c r="B4" s="736"/>
      <c r="C4" s="586">
        <f>SUM(C5:C6)</f>
        <v>0</v>
      </c>
      <c r="D4" s="569"/>
      <c r="E4" s="587"/>
      <c r="F4" s="570"/>
    </row>
    <row r="5" spans="1:6" ht="18" hidden="1" x14ac:dyDescent="0.25">
      <c r="A5" s="246"/>
      <c r="B5" s="734"/>
      <c r="C5" s="255"/>
      <c r="D5" s="561"/>
      <c r="E5" s="588"/>
      <c r="F5" s="562"/>
    </row>
    <row r="6" spans="1:6" ht="18" hidden="1" x14ac:dyDescent="0.25">
      <c r="A6" s="246"/>
      <c r="B6" s="737"/>
      <c r="C6" s="581"/>
      <c r="D6" s="85"/>
      <c r="E6" s="85"/>
      <c r="F6" s="85"/>
    </row>
    <row r="7" spans="1:6" ht="18" hidden="1" x14ac:dyDescent="0.25">
      <c r="A7" s="571" t="s">
        <v>310</v>
      </c>
      <c r="B7" s="735"/>
      <c r="C7" s="363">
        <f>SUM(C8:C9)</f>
        <v>0</v>
      </c>
      <c r="D7" s="74"/>
      <c r="E7" s="74"/>
      <c r="F7" s="94">
        <f>SUM(F8)</f>
        <v>0</v>
      </c>
    </row>
    <row r="8" spans="1:6" ht="18" hidden="1" x14ac:dyDescent="0.25">
      <c r="A8" s="250"/>
      <c r="B8" s="736"/>
      <c r="C8" s="550"/>
      <c r="D8" s="333"/>
      <c r="E8" s="253"/>
      <c r="F8" s="254"/>
    </row>
    <row r="9" spans="1:6" ht="18" hidden="1" x14ac:dyDescent="0.25">
      <c r="A9" s="246"/>
      <c r="B9" s="734"/>
      <c r="C9" s="255"/>
      <c r="D9" s="248"/>
      <c r="E9" s="589"/>
      <c r="F9" s="590"/>
    </row>
    <row r="10" spans="1:6" hidden="1" x14ac:dyDescent="0.25">
      <c r="A10" s="571" t="s">
        <v>312</v>
      </c>
      <c r="B10" s="738"/>
      <c r="C10" s="576"/>
      <c r="D10" s="74"/>
      <c r="E10" s="74"/>
      <c r="F10" s="94">
        <f>SUM(F11)</f>
        <v>0</v>
      </c>
    </row>
    <row r="11" spans="1:6" ht="18" hidden="1" x14ac:dyDescent="0.25">
      <c r="A11" s="551"/>
      <c r="B11" s="735"/>
      <c r="C11" s="585"/>
      <c r="D11" s="539"/>
      <c r="E11" s="68"/>
      <c r="F11" s="68"/>
    </row>
    <row r="12" spans="1:6" x14ac:dyDescent="0.25">
      <c r="A12" s="571" t="s">
        <v>313</v>
      </c>
      <c r="B12" s="738"/>
      <c r="C12" s="363">
        <f>SUM(C14:C15)</f>
        <v>90</v>
      </c>
      <c r="D12" s="74"/>
      <c r="E12" s="74"/>
      <c r="F12" s="363">
        <f>SUM(F14)</f>
        <v>15</v>
      </c>
    </row>
    <row r="13" spans="1:6" ht="18" hidden="1" x14ac:dyDescent="0.25">
      <c r="A13" s="250"/>
      <c r="B13" s="736"/>
      <c r="C13" s="557"/>
      <c r="D13" s="333"/>
      <c r="E13" s="253"/>
      <c r="F13" s="566"/>
    </row>
    <row r="14" spans="1:6" ht="21" x14ac:dyDescent="0.4">
      <c r="A14" s="739" t="s">
        <v>749</v>
      </c>
      <c r="B14" s="734" t="s">
        <v>3</v>
      </c>
      <c r="C14" s="585">
        <f>3*15</f>
        <v>45</v>
      </c>
      <c r="D14" s="724" t="s">
        <v>744</v>
      </c>
      <c r="E14" s="660" t="s">
        <v>667</v>
      </c>
      <c r="F14" s="543">
        <v>15</v>
      </c>
    </row>
    <row r="15" spans="1:6" ht="21" x14ac:dyDescent="0.4">
      <c r="A15" s="739" t="s">
        <v>750</v>
      </c>
      <c r="B15" s="129" t="s">
        <v>667</v>
      </c>
      <c r="C15" s="740">
        <v>45</v>
      </c>
      <c r="D15" s="591"/>
      <c r="E15" s="592"/>
      <c r="F15" s="593"/>
    </row>
    <row r="16" spans="1:6" ht="18" x14ac:dyDescent="0.25">
      <c r="A16" s="276" t="s">
        <v>320</v>
      </c>
      <c r="B16" s="69"/>
      <c r="C16" s="800">
        <f>C2+C12</f>
        <v>135</v>
      </c>
      <c r="D16" s="92"/>
      <c r="E16" s="74"/>
      <c r="F16" s="803">
        <f>F2+F12</f>
        <v>30</v>
      </c>
    </row>
    <row r="17" spans="1:6" ht="18" x14ac:dyDescent="0.25">
      <c r="A17" s="266" t="s">
        <v>321</v>
      </c>
      <c r="B17" s="393"/>
      <c r="C17" s="534">
        <f>C16/(15*35)</f>
        <v>0.25714285714285712</v>
      </c>
      <c r="D17" s="92"/>
      <c r="E17" s="74"/>
      <c r="F17" s="522">
        <f>F16/(15*35)</f>
        <v>5.7142857142857141E-2</v>
      </c>
    </row>
    <row r="18" spans="1:6" ht="18" x14ac:dyDescent="0.25">
      <c r="A18" s="266" t="s">
        <v>322</v>
      </c>
      <c r="B18" s="393"/>
      <c r="C18" s="535">
        <f>(C17+F17)/2</f>
        <v>0.15714285714285714</v>
      </c>
      <c r="D18" s="92"/>
      <c r="E18" s="74"/>
      <c r="F18" s="9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0"/>
  <sheetViews>
    <sheetView tabSelected="1" workbookViewId="0">
      <selection activeCell="G17" sqref="G17"/>
    </sheetView>
  </sheetViews>
  <sheetFormatPr defaultRowHeight="13.8" x14ac:dyDescent="0.25"/>
  <cols>
    <col min="1" max="1" width="8.796875" style="72"/>
    <col min="2" max="2" width="14.69921875" style="72" customWidth="1"/>
    <col min="3" max="3" width="15.5" style="549" customWidth="1"/>
    <col min="4" max="5" width="8.796875" style="72"/>
    <col min="6" max="6" width="10.296875" style="72" bestFit="1" customWidth="1"/>
    <col min="7" max="16384" width="8.796875" style="72"/>
  </cols>
  <sheetData>
    <row r="1" spans="1:6" x14ac:dyDescent="0.25">
      <c r="A1" s="536"/>
      <c r="B1" s="536"/>
      <c r="C1" s="71" t="s">
        <v>512</v>
      </c>
      <c r="F1" s="71" t="s">
        <v>513</v>
      </c>
    </row>
    <row r="2" spans="1:6" x14ac:dyDescent="0.25">
      <c r="A2" s="571" t="s">
        <v>313</v>
      </c>
      <c r="B2" s="74"/>
      <c r="C2" s="363">
        <f>SUM(C3:C4)</f>
        <v>90</v>
      </c>
      <c r="D2" s="74"/>
      <c r="E2" s="74"/>
      <c r="F2" s="363"/>
    </row>
    <row r="3" spans="1:6" ht="21" x14ac:dyDescent="0.4">
      <c r="A3" s="551" t="s">
        <v>319</v>
      </c>
      <c r="B3" s="129" t="s">
        <v>667</v>
      </c>
      <c r="C3" s="585">
        <f>3*15</f>
        <v>45</v>
      </c>
      <c r="D3" s="546"/>
      <c r="E3" s="547"/>
      <c r="F3" s="566"/>
    </row>
    <row r="4" spans="1:6" ht="21" x14ac:dyDescent="0.4">
      <c r="A4" s="250" t="s">
        <v>708</v>
      </c>
      <c r="B4" s="129" t="s">
        <v>667</v>
      </c>
      <c r="C4" s="550">
        <f>3*15</f>
        <v>45</v>
      </c>
      <c r="D4" s="546"/>
      <c r="E4" s="547"/>
      <c r="F4" s="566"/>
    </row>
    <row r="5" spans="1:6" x14ac:dyDescent="0.25">
      <c r="A5" s="571" t="s">
        <v>317</v>
      </c>
      <c r="B5" s="578"/>
      <c r="C5" s="658">
        <f>SUM(C6:C7)</f>
        <v>30</v>
      </c>
      <c r="D5" s="571"/>
      <c r="E5" s="578"/>
      <c r="F5" s="652">
        <f>SUM(F6)</f>
        <v>15</v>
      </c>
    </row>
    <row r="6" spans="1:6" ht="21" x14ac:dyDescent="0.4">
      <c r="A6" s="457" t="s">
        <v>726</v>
      </c>
      <c r="B6" s="129" t="s">
        <v>667</v>
      </c>
      <c r="C6" s="752">
        <f>1*15/2</f>
        <v>7.5</v>
      </c>
      <c r="D6" s="457" t="s">
        <v>744</v>
      </c>
      <c r="E6" s="129" t="s">
        <v>667</v>
      </c>
      <c r="F6" s="577">
        <v>15</v>
      </c>
    </row>
    <row r="7" spans="1:6" ht="21" x14ac:dyDescent="0.4">
      <c r="A7" s="457" t="s">
        <v>727</v>
      </c>
      <c r="B7" s="129" t="s">
        <v>667</v>
      </c>
      <c r="C7" s="690">
        <f>3*15/2</f>
        <v>22.5</v>
      </c>
      <c r="D7" s="684"/>
      <c r="E7" s="684"/>
      <c r="F7" s="677"/>
    </row>
    <row r="8" spans="1:6" ht="18" x14ac:dyDescent="0.25">
      <c r="A8" s="460" t="s">
        <v>320</v>
      </c>
      <c r="B8" s="85"/>
      <c r="C8" s="800">
        <f>C2+C5</f>
        <v>120</v>
      </c>
      <c r="D8" s="100"/>
      <c r="E8" s="86"/>
      <c r="F8" s="363">
        <f>F2+F5</f>
        <v>15</v>
      </c>
    </row>
    <row r="9" spans="1:6" ht="18" x14ac:dyDescent="0.25">
      <c r="A9" s="276" t="s">
        <v>321</v>
      </c>
      <c r="B9" s="87"/>
      <c r="C9" s="523">
        <f>C8/(15*35)</f>
        <v>0.22857142857142856</v>
      </c>
      <c r="D9" s="92"/>
      <c r="E9" s="74"/>
      <c r="F9" s="522">
        <f>F8/(15*35)</f>
        <v>2.8571428571428571E-2</v>
      </c>
    </row>
    <row r="10" spans="1:6" ht="18" x14ac:dyDescent="0.25">
      <c r="A10" s="266" t="s">
        <v>322</v>
      </c>
      <c r="B10" s="93"/>
      <c r="C10" s="535">
        <f>(C9+F9)/2</f>
        <v>0.12857142857142856</v>
      </c>
      <c r="D10" s="92"/>
      <c r="E10" s="74"/>
      <c r="F10" s="9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"/>
  <sheetViews>
    <sheetView workbookViewId="0">
      <selection activeCell="E21" sqref="E21"/>
    </sheetView>
  </sheetViews>
  <sheetFormatPr defaultRowHeight="13.8" x14ac:dyDescent="0.25"/>
  <cols>
    <col min="1" max="1" width="8.796875" style="72"/>
    <col min="2" max="2" width="14.69921875" style="72" customWidth="1"/>
    <col min="3" max="3" width="15.5" style="549" customWidth="1"/>
    <col min="4" max="5" width="8.796875" style="72"/>
    <col min="6" max="6" width="10.296875" style="72" bestFit="1" customWidth="1"/>
    <col min="7" max="16384" width="8.796875" style="72"/>
  </cols>
  <sheetData>
    <row r="1" spans="1:6" x14ac:dyDescent="0.25">
      <c r="A1" s="536"/>
      <c r="B1" s="536"/>
      <c r="C1" s="71" t="s">
        <v>512</v>
      </c>
      <c r="F1" s="71" t="s">
        <v>513</v>
      </c>
    </row>
    <row r="2" spans="1:6" x14ac:dyDescent="0.25">
      <c r="A2" s="571" t="s">
        <v>317</v>
      </c>
      <c r="B2" s="578"/>
      <c r="C2" s="658">
        <f>SUM(C3:C4)</f>
        <v>30</v>
      </c>
      <c r="D2" s="571"/>
      <c r="E2" s="578"/>
      <c r="F2" s="652">
        <f>SUM(F3)</f>
        <v>15</v>
      </c>
    </row>
    <row r="3" spans="1:6" ht="21" x14ac:dyDescent="0.4">
      <c r="A3" s="457" t="s">
        <v>726</v>
      </c>
      <c r="B3" s="129" t="s">
        <v>667</v>
      </c>
      <c r="C3" s="752">
        <f>1*15/2</f>
        <v>7.5</v>
      </c>
      <c r="D3" s="457" t="s">
        <v>744</v>
      </c>
      <c r="E3" s="129" t="s">
        <v>667</v>
      </c>
      <c r="F3" s="577">
        <v>15</v>
      </c>
    </row>
    <row r="4" spans="1:6" ht="21" x14ac:dyDescent="0.4">
      <c r="A4" s="457" t="s">
        <v>727</v>
      </c>
      <c r="B4" s="129" t="s">
        <v>667</v>
      </c>
      <c r="C4" s="690">
        <f>3*15/2</f>
        <v>22.5</v>
      </c>
      <c r="D4" s="684"/>
      <c r="E4" s="684"/>
      <c r="F4" s="677"/>
    </row>
    <row r="5" spans="1:6" ht="18" x14ac:dyDescent="0.25">
      <c r="A5" s="460" t="s">
        <v>320</v>
      </c>
      <c r="B5" s="85"/>
      <c r="C5" s="800">
        <f>SUM(C2)</f>
        <v>30</v>
      </c>
      <c r="D5" s="100"/>
      <c r="E5" s="86"/>
      <c r="F5" s="363">
        <f>SUM(F2)</f>
        <v>15</v>
      </c>
    </row>
    <row r="6" spans="1:6" ht="18" x14ac:dyDescent="0.25">
      <c r="A6" s="276" t="s">
        <v>321</v>
      </c>
      <c r="B6" s="87"/>
      <c r="C6" s="523">
        <f>C5/(15*35)</f>
        <v>5.7142857142857141E-2</v>
      </c>
      <c r="D6" s="92"/>
      <c r="E6" s="74"/>
      <c r="F6" s="522">
        <f>F5/(15*35)</f>
        <v>2.8571428571428571E-2</v>
      </c>
    </row>
    <row r="7" spans="1:6" ht="18" x14ac:dyDescent="0.25">
      <c r="A7" s="266" t="s">
        <v>322</v>
      </c>
      <c r="B7" s="93"/>
      <c r="C7" s="535">
        <f>(C6+F6)/2</f>
        <v>4.2857142857142858E-2</v>
      </c>
      <c r="D7" s="92"/>
      <c r="E7" s="74"/>
      <c r="F7" s="9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1"/>
  <sheetViews>
    <sheetView topLeftCell="A28" workbookViewId="0">
      <selection activeCell="G32" sqref="G32"/>
    </sheetView>
  </sheetViews>
  <sheetFormatPr defaultRowHeight="13.8" x14ac:dyDescent="0.25"/>
  <cols>
    <col min="6" max="6" width="10.19921875" customWidth="1"/>
    <col min="12" max="12" width="10.296875" bestFit="1" customWidth="1"/>
  </cols>
  <sheetData>
    <row r="1" spans="1:12" x14ac:dyDescent="0.25">
      <c r="A1" s="147"/>
      <c r="B1" s="147"/>
      <c r="C1" s="147"/>
      <c r="D1" s="147"/>
      <c r="E1" s="147"/>
      <c r="F1" s="8" t="s">
        <v>512</v>
      </c>
      <c r="L1" s="8" t="s">
        <v>513</v>
      </c>
    </row>
    <row r="2" spans="1:12" ht="20.399999999999999" x14ac:dyDescent="0.25">
      <c r="A2" s="448" t="s">
        <v>171</v>
      </c>
      <c r="B2" s="12"/>
      <c r="C2" s="12"/>
      <c r="D2" s="12"/>
      <c r="E2" s="12"/>
      <c r="F2" s="30">
        <f>SUM(F3:F6)</f>
        <v>129</v>
      </c>
      <c r="G2" s="12"/>
      <c r="H2" s="12"/>
      <c r="I2" s="12"/>
      <c r="J2" s="12"/>
      <c r="K2" s="12"/>
      <c r="L2" s="30">
        <f>SUM(L3:L9)</f>
        <v>162.75</v>
      </c>
    </row>
    <row r="3" spans="1:12" ht="108" x14ac:dyDescent="0.25">
      <c r="A3" s="148" t="s">
        <v>172</v>
      </c>
      <c r="B3" s="149" t="s">
        <v>173</v>
      </c>
      <c r="C3" s="44">
        <v>1</v>
      </c>
      <c r="D3" s="45" t="s">
        <v>0</v>
      </c>
      <c r="E3" s="45" t="s">
        <v>1</v>
      </c>
      <c r="F3" s="46">
        <v>16.5</v>
      </c>
      <c r="G3" s="153" t="s">
        <v>524</v>
      </c>
      <c r="H3" s="434" t="s">
        <v>525</v>
      </c>
      <c r="I3" s="152">
        <v>3</v>
      </c>
      <c r="J3" s="153" t="s">
        <v>0</v>
      </c>
      <c r="K3" s="153" t="s">
        <v>3</v>
      </c>
      <c r="L3" s="154">
        <v>15</v>
      </c>
    </row>
    <row r="4" spans="1:12" ht="72" x14ac:dyDescent="0.25">
      <c r="A4" s="148" t="s">
        <v>174</v>
      </c>
      <c r="B4" s="149" t="s">
        <v>175</v>
      </c>
      <c r="C4" s="44">
        <v>3</v>
      </c>
      <c r="D4" s="45" t="s">
        <v>0</v>
      </c>
      <c r="E4" s="45" t="s">
        <v>3</v>
      </c>
      <c r="F4" s="46">
        <v>45</v>
      </c>
      <c r="G4" s="157" t="s">
        <v>526</v>
      </c>
      <c r="H4" s="179" t="s">
        <v>180</v>
      </c>
      <c r="I4" s="156">
        <v>3</v>
      </c>
      <c r="J4" s="157" t="s">
        <v>0</v>
      </c>
      <c r="K4" s="157" t="s">
        <v>3</v>
      </c>
      <c r="L4" s="158">
        <v>18</v>
      </c>
    </row>
    <row r="5" spans="1:12" ht="90" x14ac:dyDescent="0.25">
      <c r="A5" s="159" t="s">
        <v>184</v>
      </c>
      <c r="B5" s="160" t="s">
        <v>178</v>
      </c>
      <c r="C5" s="161">
        <v>1</v>
      </c>
      <c r="D5" s="162" t="s">
        <v>0</v>
      </c>
      <c r="E5" s="162" t="s">
        <v>2</v>
      </c>
      <c r="F5" s="163">
        <v>45</v>
      </c>
      <c r="G5" s="157" t="s">
        <v>179</v>
      </c>
      <c r="H5" s="179" t="s">
        <v>180</v>
      </c>
      <c r="I5" s="156">
        <v>3</v>
      </c>
      <c r="J5" s="157" t="s">
        <v>0</v>
      </c>
      <c r="K5" s="157" t="s">
        <v>3</v>
      </c>
      <c r="L5" s="158">
        <v>18</v>
      </c>
    </row>
    <row r="6" spans="1:12" ht="90" x14ac:dyDescent="0.25">
      <c r="A6" s="148" t="s">
        <v>181</v>
      </c>
      <c r="B6" s="149" t="s">
        <v>178</v>
      </c>
      <c r="C6" s="44">
        <v>3</v>
      </c>
      <c r="D6" s="45" t="s">
        <v>0</v>
      </c>
      <c r="E6" s="45" t="s">
        <v>2</v>
      </c>
      <c r="F6" s="46">
        <v>22.5</v>
      </c>
      <c r="G6" s="157" t="s">
        <v>182</v>
      </c>
      <c r="H6" s="179" t="s">
        <v>183</v>
      </c>
      <c r="I6" s="156">
        <v>1</v>
      </c>
      <c r="J6" s="157" t="s">
        <v>0</v>
      </c>
      <c r="K6" s="157" t="s">
        <v>1</v>
      </c>
      <c r="L6" s="158">
        <v>18</v>
      </c>
    </row>
    <row r="7" spans="1:12" ht="54" x14ac:dyDescent="0.3">
      <c r="A7" s="423"/>
      <c r="B7" s="423"/>
      <c r="C7" s="423"/>
      <c r="D7" s="423"/>
      <c r="E7" s="423"/>
      <c r="F7" s="423"/>
      <c r="G7" s="157" t="s">
        <v>196</v>
      </c>
      <c r="H7" s="179" t="s">
        <v>197</v>
      </c>
      <c r="I7" s="156">
        <v>9</v>
      </c>
      <c r="J7" s="157" t="s">
        <v>0</v>
      </c>
      <c r="K7" s="157" t="s">
        <v>198</v>
      </c>
      <c r="L7" s="167">
        <v>26.25</v>
      </c>
    </row>
    <row r="8" spans="1:12" ht="90" x14ac:dyDescent="0.3">
      <c r="A8" s="423"/>
      <c r="B8" s="423"/>
      <c r="C8" s="423"/>
      <c r="D8" s="423"/>
      <c r="E8" s="423"/>
      <c r="F8" s="423"/>
      <c r="G8" s="166" t="s">
        <v>184</v>
      </c>
      <c r="H8" s="180" t="s">
        <v>178</v>
      </c>
      <c r="I8" s="165">
        <v>1</v>
      </c>
      <c r="J8" s="166" t="s">
        <v>0</v>
      </c>
      <c r="K8" s="166" t="s">
        <v>2</v>
      </c>
      <c r="L8" s="158">
        <v>22.5</v>
      </c>
    </row>
    <row r="9" spans="1:12" ht="54" x14ac:dyDescent="0.3">
      <c r="A9" s="424"/>
      <c r="B9" s="424"/>
      <c r="C9" s="424"/>
      <c r="D9" s="424"/>
      <c r="E9" s="424"/>
      <c r="F9" s="424"/>
      <c r="G9" s="170" t="s">
        <v>185</v>
      </c>
      <c r="H9" s="422" t="s">
        <v>186</v>
      </c>
      <c r="I9" s="169">
        <v>3</v>
      </c>
      <c r="J9" s="170" t="s">
        <v>0</v>
      </c>
      <c r="K9" s="170" t="s">
        <v>2</v>
      </c>
      <c r="L9" s="404">
        <v>45</v>
      </c>
    </row>
    <row r="10" spans="1:12" x14ac:dyDescent="0.25">
      <c r="A10" s="400" t="s">
        <v>187</v>
      </c>
      <c r="B10" s="12"/>
      <c r="C10" s="12"/>
      <c r="D10" s="12"/>
      <c r="E10" s="15"/>
      <c r="F10" s="172">
        <f>SUM(F11:F16)</f>
        <v>149.25</v>
      </c>
      <c r="G10" s="21"/>
      <c r="H10" s="12"/>
      <c r="I10" s="12"/>
      <c r="J10" s="12"/>
      <c r="K10" s="12"/>
      <c r="L10" s="173">
        <f>SUM(L11:L16)</f>
        <v>120.75</v>
      </c>
    </row>
    <row r="11" spans="1:12" ht="126" x14ac:dyDescent="0.25">
      <c r="A11" s="411" t="s">
        <v>516</v>
      </c>
      <c r="B11" s="412" t="s">
        <v>188</v>
      </c>
      <c r="C11" s="413">
        <v>4</v>
      </c>
      <c r="D11" s="414" t="s">
        <v>0</v>
      </c>
      <c r="E11" s="414" t="s">
        <v>3</v>
      </c>
      <c r="F11" s="43">
        <v>60</v>
      </c>
      <c r="G11" s="155" t="s">
        <v>527</v>
      </c>
      <c r="H11" s="179" t="s">
        <v>176</v>
      </c>
      <c r="I11" s="156">
        <v>1</v>
      </c>
      <c r="J11" s="157" t="s">
        <v>0</v>
      </c>
      <c r="K11" s="157" t="s">
        <v>1</v>
      </c>
      <c r="L11" s="178">
        <v>21</v>
      </c>
    </row>
    <row r="12" spans="1:12" ht="90" x14ac:dyDescent="0.25">
      <c r="A12" s="415" t="s">
        <v>172</v>
      </c>
      <c r="B12" s="416" t="s">
        <v>173</v>
      </c>
      <c r="C12" s="417">
        <v>1</v>
      </c>
      <c r="D12" s="403" t="s">
        <v>0</v>
      </c>
      <c r="E12" s="403" t="s">
        <v>1</v>
      </c>
      <c r="F12" s="46">
        <v>16.5</v>
      </c>
      <c r="G12" s="155" t="s">
        <v>182</v>
      </c>
      <c r="H12" s="179" t="s">
        <v>183</v>
      </c>
      <c r="I12" s="156">
        <v>1</v>
      </c>
      <c r="J12" s="157" t="s">
        <v>0</v>
      </c>
      <c r="K12" s="157" t="s">
        <v>1</v>
      </c>
      <c r="L12" s="158">
        <v>21</v>
      </c>
    </row>
    <row r="13" spans="1:12" ht="90" x14ac:dyDescent="0.25">
      <c r="A13" s="415" t="s">
        <v>189</v>
      </c>
      <c r="B13" s="416" t="s">
        <v>190</v>
      </c>
      <c r="C13" s="417">
        <v>1</v>
      </c>
      <c r="D13" s="403" t="s">
        <v>0</v>
      </c>
      <c r="E13" s="403" t="s">
        <v>1</v>
      </c>
      <c r="F13" s="46">
        <v>16.5</v>
      </c>
      <c r="G13" s="155" t="s">
        <v>185</v>
      </c>
      <c r="H13" s="179" t="s">
        <v>186</v>
      </c>
      <c r="I13" s="156">
        <v>3</v>
      </c>
      <c r="J13" s="157" t="s">
        <v>0</v>
      </c>
      <c r="K13" s="157" t="s">
        <v>2</v>
      </c>
      <c r="L13" s="167">
        <v>33.75</v>
      </c>
    </row>
    <row r="14" spans="1:12" ht="90" x14ac:dyDescent="0.25">
      <c r="A14" s="415" t="s">
        <v>184</v>
      </c>
      <c r="B14" s="416" t="s">
        <v>178</v>
      </c>
      <c r="C14" s="417">
        <v>1</v>
      </c>
      <c r="D14" s="403" t="s">
        <v>0</v>
      </c>
      <c r="E14" s="403" t="s">
        <v>2</v>
      </c>
      <c r="F14" s="46">
        <v>33.75</v>
      </c>
      <c r="G14" s="164" t="s">
        <v>191</v>
      </c>
      <c r="H14" s="180" t="s">
        <v>192</v>
      </c>
      <c r="I14" s="165">
        <v>3</v>
      </c>
      <c r="J14" s="166" t="s">
        <v>0</v>
      </c>
      <c r="K14" s="166" t="s">
        <v>3</v>
      </c>
      <c r="L14" s="167">
        <v>45</v>
      </c>
    </row>
    <row r="15" spans="1:12" ht="90" x14ac:dyDescent="0.25">
      <c r="A15" s="418" t="s">
        <v>181</v>
      </c>
      <c r="B15" s="419" t="s">
        <v>178</v>
      </c>
      <c r="C15" s="420">
        <v>3</v>
      </c>
      <c r="D15" s="421" t="s">
        <v>0</v>
      </c>
      <c r="E15" s="421" t="s">
        <v>2</v>
      </c>
      <c r="F15" s="49">
        <v>22.5</v>
      </c>
      <c r="G15" s="251"/>
      <c r="H15" s="435"/>
      <c r="I15" s="252"/>
      <c r="J15" s="406"/>
      <c r="K15" s="406"/>
      <c r="L15" s="404"/>
    </row>
    <row r="16" spans="1:12" ht="18" x14ac:dyDescent="0.25">
      <c r="A16" s="181"/>
      <c r="B16" s="182"/>
      <c r="C16" s="47"/>
      <c r="D16" s="48"/>
      <c r="E16" s="48"/>
      <c r="F16" s="216"/>
      <c r="G16" s="7"/>
      <c r="H16" s="7"/>
      <c r="I16" s="7"/>
      <c r="J16" s="7"/>
      <c r="K16" s="7"/>
      <c r="L16" s="67"/>
    </row>
    <row r="17" spans="1:12" x14ac:dyDescent="0.25">
      <c r="A17" s="184" t="s">
        <v>193</v>
      </c>
      <c r="B17" s="12"/>
      <c r="C17" s="12"/>
      <c r="D17" s="12"/>
      <c r="E17" s="12"/>
      <c r="F17" s="173">
        <f>SUM(F18:F22)</f>
        <v>145.5</v>
      </c>
      <c r="G17" s="12"/>
      <c r="H17" s="12"/>
      <c r="I17" s="12"/>
      <c r="J17" s="12"/>
      <c r="K17" s="12"/>
      <c r="L17" s="173">
        <f>SUM(L18:L22)</f>
        <v>81</v>
      </c>
    </row>
    <row r="18" spans="1:12" ht="126" x14ac:dyDescent="0.25">
      <c r="A18" s="185" t="s">
        <v>194</v>
      </c>
      <c r="B18" s="186" t="s">
        <v>195</v>
      </c>
      <c r="C18" s="187">
        <v>3</v>
      </c>
      <c r="D18" s="188" t="s">
        <v>0</v>
      </c>
      <c r="E18" s="188" t="s">
        <v>3</v>
      </c>
      <c r="F18" s="189">
        <v>45</v>
      </c>
      <c r="G18" s="153" t="s">
        <v>527</v>
      </c>
      <c r="H18" s="434" t="s">
        <v>176</v>
      </c>
      <c r="I18" s="152">
        <v>1</v>
      </c>
      <c r="J18" s="153" t="s">
        <v>0</v>
      </c>
      <c r="K18" s="153" t="s">
        <v>1</v>
      </c>
      <c r="L18" s="189">
        <v>18</v>
      </c>
    </row>
    <row r="19" spans="1:12" ht="90" x14ac:dyDescent="0.25">
      <c r="A19" s="148" t="s">
        <v>172</v>
      </c>
      <c r="B19" s="149" t="s">
        <v>173</v>
      </c>
      <c r="C19" s="44">
        <v>1</v>
      </c>
      <c r="D19" s="45" t="s">
        <v>0</v>
      </c>
      <c r="E19" s="45" t="s">
        <v>1</v>
      </c>
      <c r="F19" s="46">
        <v>16.5</v>
      </c>
      <c r="G19" s="157" t="s">
        <v>182</v>
      </c>
      <c r="H19" s="179" t="s">
        <v>183</v>
      </c>
      <c r="I19" s="156">
        <v>1</v>
      </c>
      <c r="J19" s="157" t="s">
        <v>0</v>
      </c>
      <c r="K19" s="157" t="s">
        <v>1</v>
      </c>
      <c r="L19" s="46">
        <v>18</v>
      </c>
    </row>
    <row r="20" spans="1:12" ht="90" x14ac:dyDescent="0.25">
      <c r="A20" s="148" t="s">
        <v>189</v>
      </c>
      <c r="B20" s="149" t="s">
        <v>190</v>
      </c>
      <c r="C20" s="44">
        <v>1</v>
      </c>
      <c r="D20" s="45" t="s">
        <v>0</v>
      </c>
      <c r="E20" s="45" t="s">
        <v>1</v>
      </c>
      <c r="F20" s="46">
        <v>16.5</v>
      </c>
      <c r="G20" s="157" t="s">
        <v>185</v>
      </c>
      <c r="H20" s="179" t="s">
        <v>186</v>
      </c>
      <c r="I20" s="156">
        <v>3</v>
      </c>
      <c r="J20" s="157" t="s">
        <v>0</v>
      </c>
      <c r="K20" s="157" t="s">
        <v>2</v>
      </c>
      <c r="L20" s="46">
        <v>45</v>
      </c>
    </row>
    <row r="21" spans="1:12" ht="90" x14ac:dyDescent="0.25">
      <c r="A21" s="159" t="s">
        <v>177</v>
      </c>
      <c r="B21" s="160" t="s">
        <v>178</v>
      </c>
      <c r="C21" s="161">
        <v>1</v>
      </c>
      <c r="D21" s="162" t="s">
        <v>0</v>
      </c>
      <c r="E21" s="162" t="s">
        <v>2</v>
      </c>
      <c r="F21" s="163">
        <v>45</v>
      </c>
      <c r="G21" s="233"/>
      <c r="H21" s="256"/>
      <c r="I21" s="257"/>
      <c r="J21" s="425"/>
      <c r="K21" s="425"/>
      <c r="L21" s="212"/>
    </row>
    <row r="22" spans="1:12" ht="90" x14ac:dyDescent="0.25">
      <c r="A22" s="181" t="s">
        <v>181</v>
      </c>
      <c r="B22" s="182" t="s">
        <v>178</v>
      </c>
      <c r="C22" s="47">
        <v>3</v>
      </c>
      <c r="D22" s="48" t="s">
        <v>0</v>
      </c>
      <c r="E22" s="48" t="s">
        <v>2</v>
      </c>
      <c r="F22" s="49">
        <v>22.5</v>
      </c>
      <c r="G22" s="235"/>
      <c r="H22" s="407"/>
      <c r="I22" s="409"/>
      <c r="J22" s="410"/>
      <c r="K22" s="410"/>
      <c r="L22" s="216"/>
    </row>
    <row r="23" spans="1:12" x14ac:dyDescent="0.25">
      <c r="A23" t="s">
        <v>199</v>
      </c>
      <c r="F23" s="173">
        <f>SUM(F24:F29)</f>
        <v>205.5</v>
      </c>
      <c r="G23" s="21"/>
      <c r="H23" s="12"/>
      <c r="I23" s="12"/>
      <c r="J23" s="12"/>
      <c r="K23" s="12"/>
      <c r="L23" s="173">
        <f>SUM(L24:L28)</f>
        <v>81</v>
      </c>
    </row>
    <row r="24" spans="1:12" ht="126" x14ac:dyDescent="0.25">
      <c r="A24" s="174" t="s">
        <v>200</v>
      </c>
      <c r="B24" s="175" t="s">
        <v>201</v>
      </c>
      <c r="C24" s="41">
        <v>4</v>
      </c>
      <c r="D24" s="42" t="s">
        <v>0</v>
      </c>
      <c r="E24" s="42" t="s">
        <v>3</v>
      </c>
      <c r="F24" s="43">
        <v>60</v>
      </c>
      <c r="G24" s="155" t="s">
        <v>527</v>
      </c>
      <c r="H24" s="179" t="s">
        <v>176</v>
      </c>
      <c r="I24" s="156">
        <v>1</v>
      </c>
      <c r="J24" s="157" t="s">
        <v>0</v>
      </c>
      <c r="K24" s="157" t="s">
        <v>1</v>
      </c>
      <c r="L24" s="178">
        <v>18</v>
      </c>
    </row>
    <row r="25" spans="1:12" ht="90" x14ac:dyDescent="0.25">
      <c r="A25" s="148" t="s">
        <v>172</v>
      </c>
      <c r="B25" s="149" t="s">
        <v>173</v>
      </c>
      <c r="C25" s="44">
        <v>1</v>
      </c>
      <c r="D25" s="45" t="s">
        <v>0</v>
      </c>
      <c r="E25" s="45" t="s">
        <v>1</v>
      </c>
      <c r="F25" s="46">
        <v>16.5</v>
      </c>
      <c r="G25" s="155" t="s">
        <v>182</v>
      </c>
      <c r="H25" s="179" t="s">
        <v>183</v>
      </c>
      <c r="I25" s="156">
        <v>1</v>
      </c>
      <c r="J25" s="157" t="s">
        <v>0</v>
      </c>
      <c r="K25" s="157" t="s">
        <v>1</v>
      </c>
      <c r="L25" s="158">
        <v>18</v>
      </c>
    </row>
    <row r="26" spans="1:12" ht="54" x14ac:dyDescent="0.25">
      <c r="A26" s="148" t="s">
        <v>202</v>
      </c>
      <c r="B26" s="149" t="s">
        <v>203</v>
      </c>
      <c r="C26" s="44">
        <v>3</v>
      </c>
      <c r="D26" s="45" t="s">
        <v>0</v>
      </c>
      <c r="E26" s="45" t="s">
        <v>3</v>
      </c>
      <c r="F26" s="46">
        <v>45</v>
      </c>
      <c r="G26" s="155" t="s">
        <v>185</v>
      </c>
      <c r="H26" s="179" t="s">
        <v>186</v>
      </c>
      <c r="I26" s="156">
        <v>3</v>
      </c>
      <c r="J26" s="157" t="s">
        <v>0</v>
      </c>
      <c r="K26" s="157" t="s">
        <v>2</v>
      </c>
      <c r="L26" s="158">
        <v>45</v>
      </c>
    </row>
    <row r="27" spans="1:12" ht="90" x14ac:dyDescent="0.25">
      <c r="A27" s="148" t="s">
        <v>189</v>
      </c>
      <c r="B27" s="149" t="s">
        <v>190</v>
      </c>
      <c r="C27" s="44">
        <v>1</v>
      </c>
      <c r="D27" s="45" t="s">
        <v>0</v>
      </c>
      <c r="E27" s="45" t="s">
        <v>1</v>
      </c>
      <c r="F27" s="163">
        <v>16.5</v>
      </c>
      <c r="G27" s="241"/>
      <c r="H27" s="428"/>
      <c r="I27" s="243"/>
      <c r="J27" s="426"/>
      <c r="K27" s="426"/>
      <c r="L27" s="427"/>
    </row>
    <row r="28" spans="1:12" ht="90" x14ac:dyDescent="0.25">
      <c r="A28" s="148" t="s">
        <v>177</v>
      </c>
      <c r="B28" s="149" t="s">
        <v>178</v>
      </c>
      <c r="C28" s="44">
        <v>1</v>
      </c>
      <c r="D28" s="45" t="s">
        <v>0</v>
      </c>
      <c r="E28" s="45" t="s">
        <v>2</v>
      </c>
      <c r="F28" s="46">
        <v>45</v>
      </c>
      <c r="G28" s="241"/>
      <c r="H28" s="428"/>
      <c r="I28" s="243"/>
      <c r="J28" s="426"/>
      <c r="K28" s="426"/>
      <c r="L28" s="427"/>
    </row>
    <row r="29" spans="1:12" ht="90" x14ac:dyDescent="0.25">
      <c r="A29" s="235" t="s">
        <v>181</v>
      </c>
      <c r="B29" s="408" t="s">
        <v>178</v>
      </c>
      <c r="C29" s="409">
        <v>3</v>
      </c>
      <c r="D29" s="410" t="s">
        <v>0</v>
      </c>
      <c r="E29" s="410" t="s">
        <v>2</v>
      </c>
      <c r="F29" s="216">
        <v>22.5</v>
      </c>
      <c r="G29" s="251"/>
      <c r="H29" s="405"/>
      <c r="I29" s="252"/>
      <c r="J29" s="406"/>
      <c r="K29" s="406"/>
      <c r="L29" s="404"/>
    </row>
    <row r="30" spans="1:12" x14ac:dyDescent="0.25">
      <c r="A30" s="12" t="s">
        <v>204</v>
      </c>
      <c r="B30" s="12"/>
      <c r="C30" s="12"/>
      <c r="D30" s="12"/>
      <c r="E30" s="12"/>
      <c r="F30" s="173">
        <f>SUM(F31:F33)</f>
        <v>112.5</v>
      </c>
      <c r="L30" s="172">
        <f>SUM(L31:L34)</f>
        <v>108</v>
      </c>
    </row>
    <row r="31" spans="1:12" ht="72" x14ac:dyDescent="0.25">
      <c r="A31" s="174" t="s">
        <v>520</v>
      </c>
      <c r="B31" s="186" t="s">
        <v>521</v>
      </c>
      <c r="C31" s="187">
        <v>3</v>
      </c>
      <c r="D31" s="188" t="s">
        <v>0</v>
      </c>
      <c r="E31" s="188" t="s">
        <v>207</v>
      </c>
      <c r="F31" s="189">
        <v>45</v>
      </c>
      <c r="G31" s="438" t="s">
        <v>526</v>
      </c>
      <c r="H31" s="434" t="s">
        <v>180</v>
      </c>
      <c r="I31" s="152">
        <v>3</v>
      </c>
      <c r="J31" s="153" t="s">
        <v>0</v>
      </c>
      <c r="K31" s="153" t="s">
        <v>3</v>
      </c>
      <c r="L31" s="154">
        <v>9</v>
      </c>
    </row>
    <row r="32" spans="1:12" ht="90" x14ac:dyDescent="0.25">
      <c r="A32" s="159" t="s">
        <v>177</v>
      </c>
      <c r="B32" s="149" t="s">
        <v>178</v>
      </c>
      <c r="C32" s="44">
        <v>1</v>
      </c>
      <c r="D32" s="45" t="s">
        <v>0</v>
      </c>
      <c r="E32" s="45" t="s">
        <v>2</v>
      </c>
      <c r="F32" s="163">
        <v>45</v>
      </c>
      <c r="G32" s="439" t="s">
        <v>208</v>
      </c>
      <c r="H32" s="179" t="s">
        <v>209</v>
      </c>
      <c r="I32" s="156">
        <v>3</v>
      </c>
      <c r="J32" s="157" t="s">
        <v>0</v>
      </c>
      <c r="K32" s="157" t="s">
        <v>3</v>
      </c>
      <c r="L32" s="158">
        <v>45</v>
      </c>
    </row>
    <row r="33" spans="1:12" ht="90" x14ac:dyDescent="0.25">
      <c r="A33" s="148" t="s">
        <v>181</v>
      </c>
      <c r="B33" s="149" t="s">
        <v>178</v>
      </c>
      <c r="C33" s="44">
        <v>3</v>
      </c>
      <c r="D33" s="45" t="s">
        <v>0</v>
      </c>
      <c r="E33" s="45" t="s">
        <v>2</v>
      </c>
      <c r="F33" s="46">
        <v>22.5</v>
      </c>
      <c r="G33" s="439" t="s">
        <v>179</v>
      </c>
      <c r="H33" s="179" t="s">
        <v>180</v>
      </c>
      <c r="I33" s="156">
        <v>3</v>
      </c>
      <c r="J33" s="157" t="s">
        <v>0</v>
      </c>
      <c r="K33" s="157" t="s">
        <v>3</v>
      </c>
      <c r="L33" s="167">
        <v>9</v>
      </c>
    </row>
    <row r="34" spans="1:12" ht="54" x14ac:dyDescent="0.25">
      <c r="A34" s="7"/>
      <c r="B34" s="7"/>
      <c r="C34" s="7"/>
      <c r="D34" s="7"/>
      <c r="E34" s="7"/>
      <c r="F34" s="7"/>
      <c r="G34" s="440" t="s">
        <v>185</v>
      </c>
      <c r="H34" s="422" t="s">
        <v>186</v>
      </c>
      <c r="I34" s="169">
        <v>3</v>
      </c>
      <c r="J34" s="170" t="s">
        <v>0</v>
      </c>
      <c r="K34" s="170" t="s">
        <v>2</v>
      </c>
      <c r="L34" s="171">
        <v>45</v>
      </c>
    </row>
    <row r="35" spans="1:12" ht="18" x14ac:dyDescent="0.25">
      <c r="A35" s="244" t="s">
        <v>210</v>
      </c>
      <c r="B35" s="12"/>
      <c r="C35" s="12"/>
      <c r="D35" s="12"/>
      <c r="E35" s="12"/>
      <c r="F35" s="30">
        <f>SUM(F36:F39)</f>
        <v>106.5</v>
      </c>
      <c r="G35" s="190"/>
      <c r="H35" s="191"/>
      <c r="I35" s="192"/>
      <c r="J35" s="193"/>
      <c r="K35" s="193"/>
      <c r="L35" s="493">
        <f>SUM(L36:L40)</f>
        <v>171</v>
      </c>
    </row>
    <row r="36" spans="1:12" ht="126" x14ac:dyDescent="0.25">
      <c r="A36" s="148" t="s">
        <v>172</v>
      </c>
      <c r="B36" s="149" t="s">
        <v>173</v>
      </c>
      <c r="C36" s="44">
        <v>1</v>
      </c>
      <c r="D36" s="45" t="s">
        <v>0</v>
      </c>
      <c r="E36" s="45" t="s">
        <v>1</v>
      </c>
      <c r="F36" s="189">
        <v>19.5</v>
      </c>
      <c r="G36" s="150" t="s">
        <v>527</v>
      </c>
      <c r="H36" s="434" t="s">
        <v>176</v>
      </c>
      <c r="I36" s="152">
        <v>1</v>
      </c>
      <c r="J36" s="153" t="s">
        <v>0</v>
      </c>
      <c r="K36" s="153" t="s">
        <v>1</v>
      </c>
      <c r="L36" s="154">
        <v>18</v>
      </c>
    </row>
    <row r="37" spans="1:12" ht="108" x14ac:dyDescent="0.25">
      <c r="A37" s="148" t="s">
        <v>189</v>
      </c>
      <c r="B37" s="149" t="s">
        <v>190</v>
      </c>
      <c r="C37" s="44">
        <v>1</v>
      </c>
      <c r="D37" s="45" t="s">
        <v>0</v>
      </c>
      <c r="E37" s="45" t="s">
        <v>1</v>
      </c>
      <c r="F37" s="46">
        <v>19.5</v>
      </c>
      <c r="G37" s="155" t="s">
        <v>211</v>
      </c>
      <c r="H37" s="179" t="s">
        <v>212</v>
      </c>
      <c r="I37" s="156">
        <v>3</v>
      </c>
      <c r="J37" s="157" t="s">
        <v>0</v>
      </c>
      <c r="K37" s="157" t="s">
        <v>3</v>
      </c>
      <c r="L37" s="158">
        <v>45</v>
      </c>
    </row>
    <row r="38" spans="1:12" ht="90" x14ac:dyDescent="0.25">
      <c r="A38" s="159" t="s">
        <v>177</v>
      </c>
      <c r="B38" s="160" t="s">
        <v>178</v>
      </c>
      <c r="C38" s="161">
        <v>1</v>
      </c>
      <c r="D38" s="162" t="s">
        <v>0</v>
      </c>
      <c r="E38" s="162" t="s">
        <v>2</v>
      </c>
      <c r="F38" s="163">
        <v>45</v>
      </c>
      <c r="G38" s="155" t="s">
        <v>182</v>
      </c>
      <c r="H38" s="179" t="s">
        <v>183</v>
      </c>
      <c r="I38" s="156">
        <v>1</v>
      </c>
      <c r="J38" s="157" t="s">
        <v>0</v>
      </c>
      <c r="K38" s="157" t="s">
        <v>1</v>
      </c>
      <c r="L38" s="158">
        <v>18</v>
      </c>
    </row>
    <row r="39" spans="1:12" ht="90" x14ac:dyDescent="0.25">
      <c r="A39" s="159" t="s">
        <v>181</v>
      </c>
      <c r="B39" s="160" t="s">
        <v>178</v>
      </c>
      <c r="C39" s="161">
        <v>3</v>
      </c>
      <c r="D39" s="162" t="s">
        <v>0</v>
      </c>
      <c r="E39" s="162" t="s">
        <v>2</v>
      </c>
      <c r="F39" s="163">
        <v>22.5</v>
      </c>
      <c r="G39" s="164" t="s">
        <v>185</v>
      </c>
      <c r="H39" s="180" t="s">
        <v>186</v>
      </c>
      <c r="I39" s="165">
        <v>3</v>
      </c>
      <c r="J39" s="166" t="s">
        <v>0</v>
      </c>
      <c r="K39" s="166" t="s">
        <v>2</v>
      </c>
      <c r="L39" s="158">
        <v>45</v>
      </c>
    </row>
    <row r="40" spans="1:12" ht="72" x14ac:dyDescent="0.25">
      <c r="A40" s="7"/>
      <c r="B40" s="7"/>
      <c r="C40" s="7"/>
      <c r="D40" s="7"/>
      <c r="E40" s="7"/>
      <c r="F40" s="7"/>
      <c r="G40" s="168" t="s">
        <v>213</v>
      </c>
      <c r="H40" s="422" t="s">
        <v>214</v>
      </c>
      <c r="I40" s="169">
        <v>3</v>
      </c>
      <c r="J40" s="170" t="s">
        <v>0</v>
      </c>
      <c r="K40" s="170" t="s">
        <v>3</v>
      </c>
      <c r="L40" s="167">
        <v>45</v>
      </c>
    </row>
    <row r="41" spans="1:12" ht="18" x14ac:dyDescent="0.25">
      <c r="A41" s="54" t="s">
        <v>215</v>
      </c>
      <c r="F41" s="172">
        <f>SUM(F42:F45)</f>
        <v>123</v>
      </c>
      <c r="G41" s="190"/>
      <c r="H41" s="191"/>
      <c r="I41" s="192"/>
      <c r="J41" s="193"/>
      <c r="K41" s="193"/>
      <c r="L41" s="493">
        <f>SUM(L42:L45)</f>
        <v>114.75</v>
      </c>
    </row>
    <row r="42" spans="1:12" ht="126" x14ac:dyDescent="0.25">
      <c r="A42" s="174" t="s">
        <v>172</v>
      </c>
      <c r="B42" s="175" t="s">
        <v>173</v>
      </c>
      <c r="C42" s="41">
        <v>1</v>
      </c>
      <c r="D42" s="42" t="s">
        <v>0</v>
      </c>
      <c r="E42" s="42" t="s">
        <v>1</v>
      </c>
      <c r="F42" s="43">
        <v>16.5</v>
      </c>
      <c r="G42" s="155" t="s">
        <v>527</v>
      </c>
      <c r="H42" s="179" t="s">
        <v>176</v>
      </c>
      <c r="I42" s="156">
        <v>1</v>
      </c>
      <c r="J42" s="157" t="s">
        <v>0</v>
      </c>
      <c r="K42" s="157" t="s">
        <v>1</v>
      </c>
      <c r="L42" s="158">
        <v>18</v>
      </c>
    </row>
    <row r="43" spans="1:12" ht="108" x14ac:dyDescent="0.25">
      <c r="A43" s="148" t="s">
        <v>217</v>
      </c>
      <c r="B43" s="149" t="s">
        <v>218</v>
      </c>
      <c r="C43" s="44">
        <v>3</v>
      </c>
      <c r="D43" s="45" t="s">
        <v>0</v>
      </c>
      <c r="E43" s="45" t="s">
        <v>3</v>
      </c>
      <c r="F43" s="46">
        <v>45</v>
      </c>
      <c r="G43" s="155" t="s">
        <v>182</v>
      </c>
      <c r="H43" s="179" t="s">
        <v>183</v>
      </c>
      <c r="I43" s="156">
        <v>1</v>
      </c>
      <c r="J43" s="157" t="s">
        <v>0</v>
      </c>
      <c r="K43" s="157" t="s">
        <v>1</v>
      </c>
      <c r="L43" s="158">
        <v>18</v>
      </c>
    </row>
    <row r="44" spans="1:12" ht="90" x14ac:dyDescent="0.25">
      <c r="A44" s="148" t="s">
        <v>189</v>
      </c>
      <c r="B44" s="149" t="s">
        <v>190</v>
      </c>
      <c r="C44" s="44">
        <v>1</v>
      </c>
      <c r="D44" s="45" t="s">
        <v>0</v>
      </c>
      <c r="E44" s="45" t="s">
        <v>1</v>
      </c>
      <c r="F44" s="46">
        <v>16.5</v>
      </c>
      <c r="G44" s="164" t="s">
        <v>177</v>
      </c>
      <c r="H44" s="180" t="s">
        <v>178</v>
      </c>
      <c r="I44" s="165">
        <v>1</v>
      </c>
      <c r="J44" s="166" t="s">
        <v>0</v>
      </c>
      <c r="K44" s="166" t="s">
        <v>2</v>
      </c>
      <c r="L44" s="158">
        <v>33.75</v>
      </c>
    </row>
    <row r="45" spans="1:12" ht="90" x14ac:dyDescent="0.25">
      <c r="A45" s="159" t="s">
        <v>177</v>
      </c>
      <c r="B45" s="160" t="s">
        <v>178</v>
      </c>
      <c r="C45" s="161">
        <v>1</v>
      </c>
      <c r="D45" s="162" t="s">
        <v>0</v>
      </c>
      <c r="E45" s="162" t="s">
        <v>2</v>
      </c>
      <c r="F45" s="163">
        <v>45</v>
      </c>
      <c r="G45" s="168" t="s">
        <v>185</v>
      </c>
      <c r="H45" s="442" t="s">
        <v>186</v>
      </c>
      <c r="I45" s="169">
        <v>3</v>
      </c>
      <c r="J45" s="170" t="s">
        <v>0</v>
      </c>
      <c r="K45" s="170" t="s">
        <v>2</v>
      </c>
      <c r="L45" s="167">
        <v>45</v>
      </c>
    </row>
    <row r="46" spans="1:12" x14ac:dyDescent="0.25">
      <c r="A46" s="12" t="s">
        <v>219</v>
      </c>
      <c r="B46" s="12"/>
      <c r="C46" s="12"/>
      <c r="D46" s="12"/>
      <c r="E46" s="15"/>
      <c r="F46" s="173">
        <f>SUM(F47:F51)</f>
        <v>123</v>
      </c>
      <c r="G46" s="21"/>
      <c r="H46" s="12"/>
      <c r="I46" s="12"/>
      <c r="J46" s="12"/>
      <c r="K46" s="12"/>
      <c r="L46" s="30">
        <f>SUM(L47:L51)</f>
        <v>124.5</v>
      </c>
    </row>
    <row r="47" spans="1:12" ht="126" x14ac:dyDescent="0.25">
      <c r="A47" s="174" t="s">
        <v>220</v>
      </c>
      <c r="B47" s="175" t="s">
        <v>221</v>
      </c>
      <c r="C47" s="41">
        <v>3</v>
      </c>
      <c r="D47" s="42" t="s">
        <v>0</v>
      </c>
      <c r="E47" s="42" t="s">
        <v>3</v>
      </c>
      <c r="F47" s="43">
        <v>45</v>
      </c>
      <c r="G47" s="155" t="s">
        <v>527</v>
      </c>
      <c r="H47" s="179" t="s">
        <v>176</v>
      </c>
      <c r="I47" s="156">
        <v>1</v>
      </c>
      <c r="J47" s="157" t="s">
        <v>0</v>
      </c>
      <c r="K47" s="157" t="s">
        <v>1</v>
      </c>
      <c r="L47" s="43">
        <v>18</v>
      </c>
    </row>
    <row r="48" spans="1:12" ht="72" x14ac:dyDescent="0.25">
      <c r="A48" s="148" t="s">
        <v>172</v>
      </c>
      <c r="B48" s="149" t="s">
        <v>173</v>
      </c>
      <c r="C48" s="44">
        <v>1</v>
      </c>
      <c r="D48" s="45" t="s">
        <v>0</v>
      </c>
      <c r="E48" s="45" t="s">
        <v>1</v>
      </c>
      <c r="F48" s="46">
        <v>16.5</v>
      </c>
      <c r="G48" s="155" t="s">
        <v>222</v>
      </c>
      <c r="H48" s="179" t="s">
        <v>223</v>
      </c>
      <c r="I48" s="156">
        <v>3</v>
      </c>
      <c r="J48" s="157" t="s">
        <v>0</v>
      </c>
      <c r="K48" s="157" t="s">
        <v>3</v>
      </c>
      <c r="L48" s="46">
        <v>21</v>
      </c>
    </row>
    <row r="49" spans="1:12" ht="90" x14ac:dyDescent="0.25">
      <c r="A49" s="148" t="s">
        <v>189</v>
      </c>
      <c r="B49" s="149" t="s">
        <v>190</v>
      </c>
      <c r="C49" s="44">
        <v>1</v>
      </c>
      <c r="D49" s="45" t="s">
        <v>0</v>
      </c>
      <c r="E49" s="45" t="s">
        <v>1</v>
      </c>
      <c r="F49" s="46">
        <v>16.5</v>
      </c>
      <c r="G49" s="155" t="s">
        <v>182</v>
      </c>
      <c r="H49" s="179" t="s">
        <v>183</v>
      </c>
      <c r="I49" s="156">
        <v>1</v>
      </c>
      <c r="J49" s="157" t="s">
        <v>0</v>
      </c>
      <c r="K49" s="157" t="s">
        <v>1</v>
      </c>
      <c r="L49" s="46">
        <v>18</v>
      </c>
    </row>
    <row r="50" spans="1:12" ht="90" x14ac:dyDescent="0.25">
      <c r="A50" s="148" t="s">
        <v>177</v>
      </c>
      <c r="B50" s="149" t="s">
        <v>178</v>
      </c>
      <c r="C50" s="44">
        <v>1</v>
      </c>
      <c r="D50" s="45" t="s">
        <v>0</v>
      </c>
      <c r="E50" s="45" t="s">
        <v>2</v>
      </c>
      <c r="F50" s="46">
        <v>45</v>
      </c>
      <c r="G50" s="164" t="s">
        <v>177</v>
      </c>
      <c r="H50" s="180" t="s">
        <v>178</v>
      </c>
      <c r="I50" s="165">
        <v>1</v>
      </c>
      <c r="J50" s="166" t="s">
        <v>0</v>
      </c>
      <c r="K50" s="166" t="s">
        <v>2</v>
      </c>
      <c r="L50" s="46">
        <v>22.5</v>
      </c>
    </row>
    <row r="51" spans="1:12" ht="54" x14ac:dyDescent="0.25">
      <c r="A51" s="233"/>
      <c r="B51" s="239"/>
      <c r="C51" s="257"/>
      <c r="D51" s="425"/>
      <c r="E51" s="425"/>
      <c r="F51" s="212"/>
      <c r="G51" s="168" t="s">
        <v>185</v>
      </c>
      <c r="H51" s="422" t="s">
        <v>186</v>
      </c>
      <c r="I51" s="169">
        <v>3</v>
      </c>
      <c r="J51" s="170" t="s">
        <v>0</v>
      </c>
      <c r="K51" s="170" t="s">
        <v>2</v>
      </c>
      <c r="L51" s="163">
        <v>45</v>
      </c>
    </row>
    <row r="52" spans="1:12" x14ac:dyDescent="0.25">
      <c r="A52" s="12" t="s">
        <v>224</v>
      </c>
      <c r="B52" s="12"/>
      <c r="C52" s="12"/>
      <c r="D52" s="12"/>
      <c r="E52" s="12"/>
      <c r="F52" s="173">
        <f>SUM(F53:F57)</f>
        <v>147</v>
      </c>
      <c r="G52" s="21"/>
      <c r="H52" s="12"/>
      <c r="I52" s="12"/>
      <c r="J52" s="12"/>
      <c r="K52" s="12"/>
      <c r="L52" s="173">
        <f>SUM(L53:L56)</f>
        <v>81</v>
      </c>
    </row>
    <row r="53" spans="1:12" ht="126" x14ac:dyDescent="0.25">
      <c r="A53" s="148" t="s">
        <v>517</v>
      </c>
      <c r="B53" s="149" t="s">
        <v>195</v>
      </c>
      <c r="C53" s="44">
        <v>3</v>
      </c>
      <c r="D53" s="45" t="s">
        <v>5</v>
      </c>
      <c r="E53" s="45" t="s">
        <v>3</v>
      </c>
      <c r="F53" s="189">
        <v>45</v>
      </c>
      <c r="G53" s="155" t="s">
        <v>527</v>
      </c>
      <c r="H53" s="179" t="s">
        <v>176</v>
      </c>
      <c r="I53" s="156">
        <v>1</v>
      </c>
      <c r="J53" s="157" t="s">
        <v>0</v>
      </c>
      <c r="K53" s="157" t="s">
        <v>1</v>
      </c>
      <c r="L53" s="178">
        <v>18</v>
      </c>
    </row>
    <row r="54" spans="1:12" ht="90" x14ac:dyDescent="0.25">
      <c r="A54" s="148" t="s">
        <v>230</v>
      </c>
      <c r="B54" s="149" t="s">
        <v>231</v>
      </c>
      <c r="C54" s="44">
        <v>3</v>
      </c>
      <c r="D54" s="45" t="s">
        <v>0</v>
      </c>
      <c r="E54" s="45" t="s">
        <v>3</v>
      </c>
      <c r="F54" s="46">
        <v>24</v>
      </c>
      <c r="G54" s="155" t="s">
        <v>182</v>
      </c>
      <c r="H54" s="179" t="s">
        <v>183</v>
      </c>
      <c r="I54" s="156">
        <v>1</v>
      </c>
      <c r="J54" s="157" t="s">
        <v>0</v>
      </c>
      <c r="K54" s="157" t="s">
        <v>1</v>
      </c>
      <c r="L54" s="158">
        <v>18</v>
      </c>
    </row>
    <row r="55" spans="1:12" ht="72" x14ac:dyDescent="0.25">
      <c r="A55" s="148" t="s">
        <v>172</v>
      </c>
      <c r="B55" s="149" t="s">
        <v>173</v>
      </c>
      <c r="C55" s="44">
        <v>1</v>
      </c>
      <c r="D55" s="45" t="s">
        <v>0</v>
      </c>
      <c r="E55" s="45" t="s">
        <v>1</v>
      </c>
      <c r="F55" s="46">
        <v>16.5</v>
      </c>
      <c r="G55" s="155" t="s">
        <v>185</v>
      </c>
      <c r="H55" s="179" t="s">
        <v>186</v>
      </c>
      <c r="I55" s="156">
        <v>3</v>
      </c>
      <c r="J55" s="157" t="s">
        <v>0</v>
      </c>
      <c r="K55" s="157" t="s">
        <v>2</v>
      </c>
      <c r="L55" s="158">
        <v>45</v>
      </c>
    </row>
    <row r="56" spans="1:12" ht="90" x14ac:dyDescent="0.25">
      <c r="A56" s="148" t="s">
        <v>189</v>
      </c>
      <c r="B56" s="149" t="s">
        <v>190</v>
      </c>
      <c r="C56" s="161">
        <v>1</v>
      </c>
      <c r="D56" s="162" t="s">
        <v>0</v>
      </c>
      <c r="E56" s="162" t="s">
        <v>1</v>
      </c>
      <c r="F56" s="163">
        <v>16.5</v>
      </c>
      <c r="G56" s="241"/>
      <c r="H56" s="428"/>
      <c r="I56" s="243"/>
      <c r="J56" s="426"/>
      <c r="K56" s="426"/>
      <c r="L56" s="167"/>
    </row>
    <row r="57" spans="1:12" ht="90" x14ac:dyDescent="0.25">
      <c r="A57" s="181" t="s">
        <v>177</v>
      </c>
      <c r="B57" s="182" t="s">
        <v>178</v>
      </c>
      <c r="C57" s="47">
        <v>1</v>
      </c>
      <c r="D57" s="48" t="s">
        <v>0</v>
      </c>
      <c r="E57" s="48" t="s">
        <v>2</v>
      </c>
      <c r="F57" s="49">
        <v>45</v>
      </c>
      <c r="G57" s="251"/>
      <c r="H57" s="405"/>
      <c r="I57" s="252"/>
      <c r="J57" s="406"/>
      <c r="K57" s="406"/>
      <c r="L57" s="404"/>
    </row>
    <row r="58" spans="1:12" x14ac:dyDescent="0.25">
      <c r="A58" s="12" t="s">
        <v>522</v>
      </c>
      <c r="B58" s="12"/>
      <c r="C58" s="12"/>
      <c r="D58" s="12"/>
      <c r="E58" s="12"/>
      <c r="F58" s="173">
        <f>SUM(F59:F65)</f>
        <v>100.5</v>
      </c>
      <c r="G58" s="21"/>
      <c r="H58" s="12"/>
      <c r="I58" s="12"/>
      <c r="J58" s="12"/>
      <c r="K58" s="12"/>
      <c r="L58" s="173">
        <f>SUM(L59:L65)</f>
        <v>162</v>
      </c>
    </row>
    <row r="59" spans="1:12" ht="72" x14ac:dyDescent="0.25">
      <c r="A59" s="430" t="s">
        <v>517</v>
      </c>
      <c r="B59" s="149" t="s">
        <v>195</v>
      </c>
      <c r="C59" s="44">
        <v>3</v>
      </c>
      <c r="D59" s="45" t="s">
        <v>4</v>
      </c>
      <c r="E59" s="45" t="s">
        <v>3</v>
      </c>
      <c r="F59" s="189">
        <v>45</v>
      </c>
      <c r="G59" s="150" t="s">
        <v>526</v>
      </c>
      <c r="H59" s="434" t="s">
        <v>180</v>
      </c>
      <c r="I59" s="152">
        <v>3</v>
      </c>
      <c r="J59" s="153" t="s">
        <v>0</v>
      </c>
      <c r="K59" s="153" t="s">
        <v>3</v>
      </c>
      <c r="L59" s="178">
        <v>18</v>
      </c>
    </row>
    <row r="60" spans="1:12" ht="90" x14ac:dyDescent="0.25">
      <c r="A60" s="430" t="s">
        <v>172</v>
      </c>
      <c r="B60" s="149" t="s">
        <v>173</v>
      </c>
      <c r="C60" s="44">
        <v>1</v>
      </c>
      <c r="D60" s="45" t="s">
        <v>0</v>
      </c>
      <c r="E60" s="45" t="s">
        <v>1</v>
      </c>
      <c r="F60" s="46">
        <v>16.5</v>
      </c>
      <c r="G60" s="155" t="s">
        <v>533</v>
      </c>
      <c r="H60" s="179" t="s">
        <v>216</v>
      </c>
      <c r="I60" s="156">
        <v>3</v>
      </c>
      <c r="J60" s="157" t="s">
        <v>0</v>
      </c>
      <c r="K60" s="157" t="s">
        <v>3</v>
      </c>
      <c r="L60" s="158">
        <v>45</v>
      </c>
    </row>
    <row r="61" spans="1:12" ht="126" x14ac:dyDescent="0.25">
      <c r="A61" s="430" t="s">
        <v>189</v>
      </c>
      <c r="B61" s="149" t="s">
        <v>190</v>
      </c>
      <c r="C61" s="44">
        <v>1</v>
      </c>
      <c r="D61" s="45" t="s">
        <v>0</v>
      </c>
      <c r="E61" s="45" t="s">
        <v>1</v>
      </c>
      <c r="F61" s="46">
        <v>16.5</v>
      </c>
      <c r="G61" s="155" t="s">
        <v>527</v>
      </c>
      <c r="H61" s="179" t="s">
        <v>176</v>
      </c>
      <c r="I61" s="156">
        <v>1</v>
      </c>
      <c r="J61" s="157" t="s">
        <v>0</v>
      </c>
      <c r="K61" s="157" t="s">
        <v>1</v>
      </c>
      <c r="L61" s="158">
        <v>18</v>
      </c>
    </row>
    <row r="62" spans="1:12" ht="90" x14ac:dyDescent="0.25">
      <c r="A62" s="430" t="s">
        <v>177</v>
      </c>
      <c r="B62" s="149" t="s">
        <v>178</v>
      </c>
      <c r="C62" s="44">
        <v>1</v>
      </c>
      <c r="D62" s="45" t="s">
        <v>0</v>
      </c>
      <c r="E62" s="45" t="s">
        <v>2</v>
      </c>
      <c r="F62" s="46">
        <v>22.5</v>
      </c>
      <c r="G62" s="155" t="s">
        <v>179</v>
      </c>
      <c r="H62" s="179" t="s">
        <v>180</v>
      </c>
      <c r="I62" s="156">
        <v>3</v>
      </c>
      <c r="J62" s="157" t="s">
        <v>0</v>
      </c>
      <c r="K62" s="157" t="s">
        <v>3</v>
      </c>
      <c r="L62" s="167">
        <v>18</v>
      </c>
    </row>
    <row r="63" spans="1:12" ht="90" x14ac:dyDescent="0.25">
      <c r="A63" s="425"/>
      <c r="B63" s="239"/>
      <c r="C63" s="257"/>
      <c r="D63" s="425"/>
      <c r="E63" s="425"/>
      <c r="F63" s="163"/>
      <c r="G63" s="155" t="s">
        <v>182</v>
      </c>
      <c r="H63" s="179" t="s">
        <v>183</v>
      </c>
      <c r="I63" s="156">
        <v>1</v>
      </c>
      <c r="J63" s="157" t="s">
        <v>0</v>
      </c>
      <c r="K63" s="157" t="s">
        <v>1</v>
      </c>
      <c r="L63" s="158">
        <v>18</v>
      </c>
    </row>
    <row r="64" spans="1:12" ht="90" x14ac:dyDescent="0.25">
      <c r="A64" s="425"/>
      <c r="B64" s="239"/>
      <c r="C64" s="257"/>
      <c r="D64" s="425"/>
      <c r="E64" s="425"/>
      <c r="F64" s="212"/>
      <c r="G64" s="164" t="s">
        <v>177</v>
      </c>
      <c r="H64" s="180" t="s">
        <v>178</v>
      </c>
      <c r="I64" s="165">
        <v>1</v>
      </c>
      <c r="J64" s="166" t="s">
        <v>0</v>
      </c>
      <c r="K64" s="166" t="s">
        <v>2</v>
      </c>
      <c r="L64" s="158">
        <v>22.5</v>
      </c>
    </row>
    <row r="65" spans="1:12" ht="54" x14ac:dyDescent="0.25">
      <c r="A65" s="410"/>
      <c r="B65" s="408"/>
      <c r="C65" s="409"/>
      <c r="D65" s="410"/>
      <c r="E65" s="410"/>
      <c r="F65" s="189"/>
      <c r="G65" s="168" t="s">
        <v>185</v>
      </c>
      <c r="H65" s="422" t="s">
        <v>186</v>
      </c>
      <c r="I65" s="169">
        <v>3</v>
      </c>
      <c r="J65" s="170" t="s">
        <v>0</v>
      </c>
      <c r="K65" s="170" t="s">
        <v>2</v>
      </c>
      <c r="L65" s="167">
        <v>22.5</v>
      </c>
    </row>
    <row r="66" spans="1:12" x14ac:dyDescent="0.25">
      <c r="A66" s="21" t="s">
        <v>225</v>
      </c>
      <c r="B66" s="12"/>
      <c r="C66" s="12"/>
      <c r="D66" s="12"/>
      <c r="E66" s="12"/>
      <c r="F66" s="30">
        <f>SUM(F67:F71)</f>
        <v>145.5</v>
      </c>
      <c r="G66" s="12"/>
      <c r="H66" s="12"/>
      <c r="I66" s="12"/>
      <c r="J66" s="12"/>
      <c r="K66" s="12"/>
      <c r="L66" s="173">
        <f>SUM(L67:L73)</f>
        <v>195.75</v>
      </c>
    </row>
    <row r="67" spans="1:12" ht="108" x14ac:dyDescent="0.25">
      <c r="A67" s="148" t="s">
        <v>172</v>
      </c>
      <c r="B67" s="149" t="s">
        <v>173</v>
      </c>
      <c r="C67" s="44">
        <v>1</v>
      </c>
      <c r="D67" s="45" t="s">
        <v>0</v>
      </c>
      <c r="E67" s="45" t="s">
        <v>1</v>
      </c>
      <c r="F67" s="189">
        <v>16.5</v>
      </c>
      <c r="G67" s="150" t="s">
        <v>524</v>
      </c>
      <c r="H67" s="434" t="s">
        <v>525</v>
      </c>
      <c r="I67" s="152">
        <v>3</v>
      </c>
      <c r="J67" s="153" t="s">
        <v>0</v>
      </c>
      <c r="K67" s="153" t="s">
        <v>3</v>
      </c>
      <c r="L67" s="178">
        <v>15</v>
      </c>
    </row>
    <row r="68" spans="1:12" ht="126" x14ac:dyDescent="0.25">
      <c r="A68" s="148" t="s">
        <v>226</v>
      </c>
      <c r="B68" s="149" t="s">
        <v>227</v>
      </c>
      <c r="C68" s="44">
        <v>3</v>
      </c>
      <c r="D68" s="45" t="s">
        <v>0</v>
      </c>
      <c r="E68" s="45" t="s">
        <v>3</v>
      </c>
      <c r="F68" s="46">
        <v>45</v>
      </c>
      <c r="G68" s="155" t="s">
        <v>527</v>
      </c>
      <c r="H68" s="179" t="s">
        <v>176</v>
      </c>
      <c r="I68" s="176">
        <v>1</v>
      </c>
      <c r="J68" s="177" t="s">
        <v>0</v>
      </c>
      <c r="K68" s="177" t="s">
        <v>1</v>
      </c>
      <c r="L68" s="158">
        <v>18</v>
      </c>
    </row>
    <row r="69" spans="1:12" ht="90" x14ac:dyDescent="0.25">
      <c r="A69" s="148" t="s">
        <v>189</v>
      </c>
      <c r="B69" s="149" t="s">
        <v>190</v>
      </c>
      <c r="C69" s="44">
        <v>1</v>
      </c>
      <c r="D69" s="45" t="s">
        <v>0</v>
      </c>
      <c r="E69" s="45" t="s">
        <v>1</v>
      </c>
      <c r="F69" s="46">
        <v>16.5</v>
      </c>
      <c r="G69" s="155" t="s">
        <v>222</v>
      </c>
      <c r="H69" s="179" t="s">
        <v>223</v>
      </c>
      <c r="I69" s="156">
        <v>3</v>
      </c>
      <c r="J69" s="157" t="s">
        <v>0</v>
      </c>
      <c r="K69" s="157" t="s">
        <v>3</v>
      </c>
      <c r="L69" s="158">
        <v>24</v>
      </c>
    </row>
    <row r="70" spans="1:12" ht="90" x14ac:dyDescent="0.25">
      <c r="A70" s="159" t="s">
        <v>177</v>
      </c>
      <c r="B70" s="160" t="s">
        <v>178</v>
      </c>
      <c r="C70" s="161">
        <v>1</v>
      </c>
      <c r="D70" s="162" t="s">
        <v>0</v>
      </c>
      <c r="E70" s="162" t="s">
        <v>2</v>
      </c>
      <c r="F70" s="46">
        <v>45</v>
      </c>
      <c r="G70" s="155" t="s">
        <v>228</v>
      </c>
      <c r="H70" s="179" t="s">
        <v>227</v>
      </c>
      <c r="I70" s="156">
        <v>3</v>
      </c>
      <c r="J70" s="157" t="s">
        <v>0</v>
      </c>
      <c r="K70" s="157" t="s">
        <v>1</v>
      </c>
      <c r="L70" s="158">
        <v>45</v>
      </c>
    </row>
    <row r="71" spans="1:12" ht="90" x14ac:dyDescent="0.25">
      <c r="A71" s="148" t="s">
        <v>181</v>
      </c>
      <c r="B71" s="149" t="s">
        <v>178</v>
      </c>
      <c r="C71" s="44">
        <v>3</v>
      </c>
      <c r="D71" s="45" t="s">
        <v>0</v>
      </c>
      <c r="E71" s="45" t="s">
        <v>2</v>
      </c>
      <c r="F71" s="46">
        <v>22.5</v>
      </c>
      <c r="G71" s="155" t="s">
        <v>196</v>
      </c>
      <c r="H71" s="179" t="s">
        <v>197</v>
      </c>
      <c r="I71" s="156">
        <v>9</v>
      </c>
      <c r="J71" s="157" t="s">
        <v>0</v>
      </c>
      <c r="K71" s="157" t="s">
        <v>198</v>
      </c>
      <c r="L71" s="167">
        <v>26.25</v>
      </c>
    </row>
    <row r="72" spans="1:12" ht="90" x14ac:dyDescent="0.25">
      <c r="A72" s="6"/>
      <c r="B72" s="6"/>
      <c r="C72" s="6"/>
      <c r="D72" s="6"/>
      <c r="E72" s="6"/>
      <c r="F72" s="6"/>
      <c r="G72" s="164" t="s">
        <v>177</v>
      </c>
      <c r="H72" s="180" t="s">
        <v>178</v>
      </c>
      <c r="I72" s="156">
        <v>1</v>
      </c>
      <c r="J72" s="157" t="s">
        <v>0</v>
      </c>
      <c r="K72" s="157" t="s">
        <v>2</v>
      </c>
      <c r="L72" s="158">
        <v>22.5</v>
      </c>
    </row>
    <row r="73" spans="1:12" ht="54" x14ac:dyDescent="0.25">
      <c r="A73" s="7"/>
      <c r="B73" s="7"/>
      <c r="C73" s="7"/>
      <c r="D73" s="7"/>
      <c r="E73" s="7"/>
      <c r="F73" s="7"/>
      <c r="G73" s="168" t="s">
        <v>185</v>
      </c>
      <c r="H73" s="422" t="s">
        <v>186</v>
      </c>
      <c r="I73" s="169">
        <v>3</v>
      </c>
      <c r="J73" s="170" t="s">
        <v>0</v>
      </c>
      <c r="K73" s="170" t="s">
        <v>2</v>
      </c>
      <c r="L73" s="404">
        <v>45</v>
      </c>
    </row>
    <row r="74" spans="1:12" ht="18" x14ac:dyDescent="0.25">
      <c r="A74" s="21" t="s">
        <v>229</v>
      </c>
      <c r="B74" s="12"/>
      <c r="C74" s="12"/>
      <c r="D74" s="12"/>
      <c r="E74" s="12"/>
      <c r="F74" s="30">
        <f>SUM(F75:F78)</f>
        <v>129</v>
      </c>
      <c r="G74" s="195"/>
      <c r="H74" s="196"/>
      <c r="I74" s="197"/>
      <c r="J74" s="198"/>
      <c r="K74" s="198"/>
      <c r="L74" s="445">
        <f>SUM(L75:L78)</f>
        <v>107.25</v>
      </c>
    </row>
    <row r="75" spans="1:12" ht="126" x14ac:dyDescent="0.25">
      <c r="A75" s="148" t="s">
        <v>205</v>
      </c>
      <c r="B75" s="149" t="s">
        <v>206</v>
      </c>
      <c r="C75" s="44">
        <v>3</v>
      </c>
      <c r="D75" s="45" t="s">
        <v>0</v>
      </c>
      <c r="E75" s="45" t="s">
        <v>3</v>
      </c>
      <c r="F75" s="189">
        <v>45</v>
      </c>
      <c r="G75" s="155" t="s">
        <v>534</v>
      </c>
      <c r="H75" s="179" t="s">
        <v>176</v>
      </c>
      <c r="I75" s="156">
        <v>1</v>
      </c>
      <c r="J75" s="157" t="s">
        <v>0</v>
      </c>
      <c r="K75" s="157" t="s">
        <v>1</v>
      </c>
      <c r="L75" s="178">
        <v>18</v>
      </c>
    </row>
    <row r="76" spans="1:12" ht="90" x14ac:dyDescent="0.25">
      <c r="A76" s="148" t="s">
        <v>189</v>
      </c>
      <c r="B76" s="149" t="s">
        <v>190</v>
      </c>
      <c r="C76" s="44">
        <v>1</v>
      </c>
      <c r="D76" s="45" t="s">
        <v>0</v>
      </c>
      <c r="E76" s="45" t="s">
        <v>1</v>
      </c>
      <c r="F76" s="46">
        <v>16.5</v>
      </c>
      <c r="G76" s="155" t="s">
        <v>182</v>
      </c>
      <c r="H76" s="179" t="s">
        <v>183</v>
      </c>
      <c r="I76" s="156">
        <v>1</v>
      </c>
      <c r="J76" s="157" t="s">
        <v>0</v>
      </c>
      <c r="K76" s="157" t="s">
        <v>1</v>
      </c>
      <c r="L76" s="167">
        <v>18</v>
      </c>
    </row>
    <row r="77" spans="1:12" ht="90" x14ac:dyDescent="0.25">
      <c r="A77" s="159" t="s">
        <v>177</v>
      </c>
      <c r="B77" s="160" t="s">
        <v>178</v>
      </c>
      <c r="C77" s="161">
        <v>1</v>
      </c>
      <c r="D77" s="162" t="s">
        <v>0</v>
      </c>
      <c r="E77" s="162" t="s">
        <v>2</v>
      </c>
      <c r="F77" s="46">
        <v>45</v>
      </c>
      <c r="G77" s="155" t="s">
        <v>196</v>
      </c>
      <c r="H77" s="179" t="s">
        <v>197</v>
      </c>
      <c r="I77" s="156">
        <v>9</v>
      </c>
      <c r="J77" s="157" t="s">
        <v>0</v>
      </c>
      <c r="K77" s="157" t="s">
        <v>198</v>
      </c>
      <c r="L77" s="158">
        <v>26.25</v>
      </c>
    </row>
    <row r="78" spans="1:12" ht="90" x14ac:dyDescent="0.25">
      <c r="A78" s="181" t="s">
        <v>181</v>
      </c>
      <c r="B78" s="182" t="s">
        <v>178</v>
      </c>
      <c r="C78" s="47">
        <v>3</v>
      </c>
      <c r="D78" s="48" t="s">
        <v>0</v>
      </c>
      <c r="E78" s="48" t="s">
        <v>2</v>
      </c>
      <c r="F78" s="49">
        <v>22.5</v>
      </c>
      <c r="G78" s="168" t="s">
        <v>185</v>
      </c>
      <c r="H78" s="422" t="s">
        <v>186</v>
      </c>
      <c r="I78" s="169">
        <v>3</v>
      </c>
      <c r="J78" s="170" t="s">
        <v>0</v>
      </c>
      <c r="K78" s="170" t="s">
        <v>2</v>
      </c>
      <c r="L78" s="410">
        <v>45</v>
      </c>
    </row>
    <row r="79" spans="1:12" ht="18" x14ac:dyDescent="0.25">
      <c r="A79" s="266" t="s">
        <v>320</v>
      </c>
      <c r="B79" s="267"/>
      <c r="C79" s="268"/>
      <c r="D79" s="269"/>
      <c r="E79" s="270"/>
      <c r="F79" s="316">
        <f>F2+F10+F17+F23+F30+F35+F41+F46+F52+F58+F66+F74</f>
        <v>1616.25</v>
      </c>
      <c r="G79" s="272"/>
      <c r="H79" s="273"/>
      <c r="I79" s="273"/>
      <c r="J79" s="273"/>
      <c r="K79" s="273"/>
      <c r="L79" s="316">
        <f>L2+L10+L17+L23+L30+L35+L41+L46+L52+L58+L66+L74</f>
        <v>1509.75</v>
      </c>
    </row>
    <row r="80" spans="1:12" ht="18" x14ac:dyDescent="0.25">
      <c r="A80" s="266" t="s">
        <v>321</v>
      </c>
      <c r="B80" s="270"/>
      <c r="C80" s="268"/>
      <c r="D80" s="269"/>
      <c r="E80" s="270"/>
      <c r="F80" s="323">
        <f>F79/(15*35)</f>
        <v>3.0785714285714287</v>
      </c>
      <c r="G80" s="272"/>
      <c r="H80" s="273"/>
      <c r="I80" s="273"/>
      <c r="J80" s="273"/>
      <c r="K80" s="273"/>
      <c r="L80" s="323">
        <f>L79/(15*35)</f>
        <v>2.8757142857142859</v>
      </c>
    </row>
    <row r="81" spans="1:12" ht="18" x14ac:dyDescent="0.25">
      <c r="A81" s="259" t="s">
        <v>322</v>
      </c>
      <c r="B81" s="260"/>
      <c r="C81" s="215"/>
      <c r="D81" s="324">
        <f>(F80+L80)/2</f>
        <v>2.9771428571428573</v>
      </c>
      <c r="E81" s="262"/>
      <c r="F81" s="215"/>
      <c r="G81" s="263"/>
      <c r="H81" s="264"/>
      <c r="I81" s="264"/>
      <c r="J81" s="264"/>
      <c r="K81" s="264"/>
      <c r="L81" s="265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topLeftCell="A13" workbookViewId="0">
      <selection activeCell="L7" sqref="L7"/>
    </sheetView>
  </sheetViews>
  <sheetFormatPr defaultRowHeight="13.8" x14ac:dyDescent="0.25"/>
  <cols>
    <col min="1" max="1" width="16.296875" customWidth="1"/>
    <col min="6" max="6" width="10.296875" bestFit="1" customWidth="1"/>
    <col min="12" max="12" width="9.69921875" customWidth="1"/>
  </cols>
  <sheetData>
    <row r="1" spans="1:12" x14ac:dyDescent="0.25">
      <c r="A1" s="9"/>
      <c r="B1" s="9"/>
      <c r="C1" s="9"/>
      <c r="D1" s="9"/>
      <c r="E1" s="9"/>
      <c r="F1" s="8" t="s">
        <v>512</v>
      </c>
      <c r="L1" s="8" t="s">
        <v>513</v>
      </c>
    </row>
    <row r="2" spans="1:12" ht="20.399999999999999" x14ac:dyDescent="0.25">
      <c r="A2" s="448" t="s">
        <v>535</v>
      </c>
      <c r="B2" s="21"/>
      <c r="C2" s="12"/>
      <c r="D2" s="12"/>
      <c r="E2" s="12"/>
      <c r="F2" s="30">
        <f>SUM(F3:F3)</f>
        <v>21</v>
      </c>
      <c r="G2" s="21"/>
      <c r="H2" s="12"/>
      <c r="I2" s="12"/>
      <c r="J2" s="12"/>
      <c r="K2" s="12"/>
      <c r="L2" s="30">
        <f>SUM(L3:L6)</f>
        <v>103.5</v>
      </c>
    </row>
    <row r="3" spans="1:12" ht="126" x14ac:dyDescent="0.25">
      <c r="A3" s="199" t="s">
        <v>230</v>
      </c>
      <c r="B3" s="200" t="s">
        <v>231</v>
      </c>
      <c r="C3" s="201">
        <v>3</v>
      </c>
      <c r="D3" s="202" t="s">
        <v>0</v>
      </c>
      <c r="E3" s="202" t="s">
        <v>3</v>
      </c>
      <c r="F3" s="203">
        <v>21</v>
      </c>
      <c r="G3" s="150" t="s">
        <v>527</v>
      </c>
      <c r="H3" s="434" t="s">
        <v>176</v>
      </c>
      <c r="I3" s="152">
        <v>1</v>
      </c>
      <c r="J3" s="153" t="s">
        <v>0</v>
      </c>
      <c r="K3" s="153" t="s">
        <v>1</v>
      </c>
      <c r="L3" s="154">
        <v>18</v>
      </c>
    </row>
    <row r="4" spans="1:12" ht="90" x14ac:dyDescent="0.25">
      <c r="A4" s="233"/>
      <c r="B4" s="234"/>
      <c r="C4" s="257"/>
      <c r="D4" s="425"/>
      <c r="E4" s="425"/>
      <c r="F4" s="212"/>
      <c r="G4" s="155" t="s">
        <v>232</v>
      </c>
      <c r="H4" s="179" t="s">
        <v>233</v>
      </c>
      <c r="I4" s="156">
        <v>3</v>
      </c>
      <c r="J4" s="157" t="s">
        <v>0</v>
      </c>
      <c r="K4" s="157" t="s">
        <v>3</v>
      </c>
      <c r="L4" s="447">
        <v>45</v>
      </c>
    </row>
    <row r="5" spans="1:12" ht="90" x14ac:dyDescent="0.25">
      <c r="A5" s="233"/>
      <c r="B5" s="234"/>
      <c r="C5" s="257"/>
      <c r="D5" s="425"/>
      <c r="E5" s="425"/>
      <c r="F5" s="212"/>
      <c r="G5" s="155" t="s">
        <v>182</v>
      </c>
      <c r="H5" s="179" t="s">
        <v>183</v>
      </c>
      <c r="I5" s="165">
        <v>1</v>
      </c>
      <c r="J5" s="166" t="s">
        <v>0</v>
      </c>
      <c r="K5" s="166" t="s">
        <v>1</v>
      </c>
      <c r="L5" s="158">
        <v>18</v>
      </c>
    </row>
    <row r="6" spans="1:12" ht="90" x14ac:dyDescent="0.25">
      <c r="A6" s="233"/>
      <c r="B6" s="234"/>
      <c r="C6" s="257"/>
      <c r="D6" s="425"/>
      <c r="E6" s="425"/>
      <c r="F6" s="212"/>
      <c r="G6" s="168" t="s">
        <v>177</v>
      </c>
      <c r="H6" s="422" t="s">
        <v>178</v>
      </c>
      <c r="I6" s="169">
        <v>1</v>
      </c>
      <c r="J6" s="170" t="s">
        <v>0</v>
      </c>
      <c r="K6" s="170" t="s">
        <v>2</v>
      </c>
      <c r="L6" s="447">
        <v>22.5</v>
      </c>
    </row>
    <row r="7" spans="1:12" ht="20.399999999999999" x14ac:dyDescent="0.25">
      <c r="A7" s="448" t="s">
        <v>536</v>
      </c>
      <c r="B7" s="21"/>
      <c r="C7" s="12"/>
      <c r="D7" s="12"/>
      <c r="E7" s="12"/>
      <c r="F7" s="28"/>
      <c r="G7" s="21"/>
      <c r="H7" s="12"/>
      <c r="I7" s="12"/>
      <c r="J7" s="12"/>
      <c r="K7" s="12"/>
      <c r="L7" s="30">
        <f>SUM(L8:L12)</f>
        <v>118.5</v>
      </c>
    </row>
    <row r="8" spans="1:12" ht="108" x14ac:dyDescent="0.25">
      <c r="A8" s="199"/>
      <c r="B8" s="200"/>
      <c r="C8" s="201"/>
      <c r="D8" s="202"/>
      <c r="E8" s="202"/>
      <c r="F8" s="203"/>
      <c r="G8" s="150" t="s">
        <v>524</v>
      </c>
      <c r="H8" s="434" t="s">
        <v>525</v>
      </c>
      <c r="I8" s="152">
        <v>3</v>
      </c>
      <c r="J8" s="153" t="s">
        <v>0</v>
      </c>
      <c r="K8" s="153" t="s">
        <v>3</v>
      </c>
      <c r="L8" s="154">
        <v>15</v>
      </c>
    </row>
    <row r="9" spans="1:12" ht="36" x14ac:dyDescent="0.25">
      <c r="A9" s="233"/>
      <c r="B9" s="234"/>
      <c r="C9" s="257"/>
      <c r="D9" s="425"/>
      <c r="E9" s="425"/>
      <c r="F9" s="212"/>
      <c r="G9" s="155" t="s">
        <v>537</v>
      </c>
      <c r="H9" s="179" t="s">
        <v>538</v>
      </c>
      <c r="I9" s="156">
        <v>3</v>
      </c>
      <c r="J9" s="157" t="s">
        <v>0</v>
      </c>
      <c r="K9" s="157" t="s">
        <v>3</v>
      </c>
      <c r="L9" s="447">
        <v>45</v>
      </c>
    </row>
    <row r="10" spans="1:12" ht="126" x14ac:dyDescent="0.25">
      <c r="A10" s="233"/>
      <c r="B10" s="234"/>
      <c r="C10" s="257"/>
      <c r="D10" s="425"/>
      <c r="E10" s="425"/>
      <c r="F10" s="212"/>
      <c r="G10" s="155" t="s">
        <v>534</v>
      </c>
      <c r="H10" s="179" t="s">
        <v>176</v>
      </c>
      <c r="I10" s="156">
        <v>1</v>
      </c>
      <c r="J10" s="157" t="s">
        <v>0</v>
      </c>
      <c r="K10" s="157" t="s">
        <v>1</v>
      </c>
      <c r="L10" s="158">
        <v>18</v>
      </c>
    </row>
    <row r="11" spans="1:12" ht="90" x14ac:dyDescent="0.25">
      <c r="A11" s="233"/>
      <c r="B11" s="234"/>
      <c r="C11" s="257"/>
      <c r="D11" s="425"/>
      <c r="E11" s="425"/>
      <c r="F11" s="212"/>
      <c r="G11" s="155" t="s">
        <v>182</v>
      </c>
      <c r="H11" s="179" t="s">
        <v>183</v>
      </c>
      <c r="I11" s="156">
        <v>1</v>
      </c>
      <c r="J11" s="157" t="s">
        <v>0</v>
      </c>
      <c r="K11" s="157" t="s">
        <v>1</v>
      </c>
      <c r="L11" s="449">
        <v>18</v>
      </c>
    </row>
    <row r="12" spans="1:12" ht="90" x14ac:dyDescent="0.25">
      <c r="A12" s="233"/>
      <c r="B12" s="234"/>
      <c r="C12" s="257"/>
      <c r="D12" s="425"/>
      <c r="E12" s="425"/>
      <c r="F12" s="212"/>
      <c r="G12" s="168" t="s">
        <v>177</v>
      </c>
      <c r="H12" s="422" t="s">
        <v>178</v>
      </c>
      <c r="I12" s="169">
        <v>1</v>
      </c>
      <c r="J12" s="170" t="s">
        <v>0</v>
      </c>
      <c r="K12" s="170" t="s">
        <v>2</v>
      </c>
      <c r="L12" s="447">
        <v>22.5</v>
      </c>
    </row>
    <row r="13" spans="1:12" ht="18" x14ac:dyDescent="0.25">
      <c r="A13" s="266" t="s">
        <v>320</v>
      </c>
      <c r="B13" s="267"/>
      <c r="C13" s="268"/>
      <c r="D13" s="269"/>
      <c r="E13" s="270"/>
      <c r="F13" s="271">
        <f>F2</f>
        <v>21</v>
      </c>
      <c r="G13" s="272"/>
      <c r="H13" s="273"/>
      <c r="I13" s="273"/>
      <c r="J13" s="273"/>
      <c r="K13" s="273"/>
      <c r="L13" s="271">
        <f>L2+L7</f>
        <v>222</v>
      </c>
    </row>
    <row r="14" spans="1:12" ht="18" x14ac:dyDescent="0.25">
      <c r="A14" s="266" t="s">
        <v>321</v>
      </c>
      <c r="B14" s="270"/>
      <c r="C14" s="268"/>
      <c r="D14" s="269"/>
      <c r="E14" s="270"/>
      <c r="F14" s="271">
        <f>F13/(15*35)</f>
        <v>0.04</v>
      </c>
      <c r="G14" s="272"/>
      <c r="H14" s="273"/>
      <c r="I14" s="273"/>
      <c r="J14" s="273"/>
      <c r="K14" s="273"/>
      <c r="L14" s="271">
        <f>L13/(15*35)</f>
        <v>0.42285714285714288</v>
      </c>
    </row>
    <row r="15" spans="1:12" ht="18" x14ac:dyDescent="0.25">
      <c r="A15" s="259" t="s">
        <v>322</v>
      </c>
      <c r="B15" s="260"/>
      <c r="C15" s="215"/>
      <c r="D15" s="261">
        <f>(F14+L14)/2</f>
        <v>0.23142857142857143</v>
      </c>
      <c r="E15" s="262"/>
      <c r="F15" s="215"/>
      <c r="G15" s="263"/>
      <c r="H15" s="264"/>
      <c r="I15" s="264"/>
      <c r="J15" s="264"/>
      <c r="K15" s="264"/>
      <c r="L15" s="26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topLeftCell="A19" workbookViewId="0">
      <selection activeCell="J39" sqref="J39"/>
    </sheetView>
  </sheetViews>
  <sheetFormatPr defaultRowHeight="13.8" x14ac:dyDescent="0.25"/>
  <cols>
    <col min="1" max="1" width="20.3984375" customWidth="1"/>
    <col min="2" max="2" width="12.796875" customWidth="1"/>
    <col min="3" max="3" width="7.59765625" customWidth="1"/>
    <col min="6" max="6" width="10.296875" bestFit="1" customWidth="1"/>
    <col min="12" max="12" width="10.09765625" customWidth="1"/>
  </cols>
  <sheetData>
    <row r="1" spans="1:12" x14ac:dyDescent="0.25">
      <c r="A1" s="9"/>
      <c r="B1" s="9"/>
      <c r="C1" s="9"/>
      <c r="D1" s="9"/>
      <c r="E1" s="9"/>
      <c r="F1" s="17" t="s">
        <v>512</v>
      </c>
      <c r="L1" s="8" t="s">
        <v>513</v>
      </c>
    </row>
    <row r="2" spans="1:12" ht="20.399999999999999" x14ac:dyDescent="0.25">
      <c r="A2" s="448" t="s">
        <v>171</v>
      </c>
      <c r="B2" s="12"/>
      <c r="C2" s="12"/>
      <c r="D2" s="12"/>
      <c r="E2" s="12"/>
      <c r="F2" s="30">
        <f>SUM(F3:F3)</f>
        <v>24</v>
      </c>
      <c r="G2" s="21"/>
      <c r="H2" s="12"/>
      <c r="I2" s="12"/>
      <c r="J2" s="12"/>
      <c r="K2" s="12"/>
      <c r="L2" s="13"/>
    </row>
    <row r="3" spans="1:12" ht="36" x14ac:dyDescent="0.25">
      <c r="A3" s="174" t="s">
        <v>514</v>
      </c>
      <c r="B3" s="175" t="s">
        <v>515</v>
      </c>
      <c r="C3" s="201">
        <v>3</v>
      </c>
      <c r="D3" s="202" t="s">
        <v>0</v>
      </c>
      <c r="E3" s="202" t="s">
        <v>3</v>
      </c>
      <c r="F3" s="203">
        <v>24</v>
      </c>
      <c r="G3" s="183"/>
      <c r="H3" s="25"/>
      <c r="I3" s="25"/>
      <c r="J3" s="25"/>
      <c r="K3" s="25"/>
      <c r="L3" s="13"/>
    </row>
    <row r="4" spans="1:12" ht="18" x14ac:dyDescent="0.25">
      <c r="A4" s="184" t="s">
        <v>187</v>
      </c>
      <c r="B4" s="204"/>
      <c r="C4" s="205"/>
      <c r="D4" s="206"/>
      <c r="E4" s="206"/>
      <c r="F4" s="207"/>
      <c r="G4" s="12"/>
      <c r="H4" s="12"/>
      <c r="I4" s="12"/>
      <c r="J4" s="12"/>
      <c r="K4" s="12"/>
      <c r="L4" s="30">
        <f>SUM(L5)</f>
        <v>15</v>
      </c>
    </row>
    <row r="5" spans="1:12" ht="162" x14ac:dyDescent="0.25">
      <c r="A5" s="208"/>
      <c r="B5" s="218"/>
      <c r="C5" s="52"/>
      <c r="D5" s="53"/>
      <c r="E5" s="53"/>
      <c r="F5" s="212"/>
      <c r="G5" s="436" t="s">
        <v>528</v>
      </c>
      <c r="H5" s="434" t="s">
        <v>529</v>
      </c>
      <c r="I5" s="152">
        <v>1</v>
      </c>
      <c r="J5" s="153" t="s">
        <v>0</v>
      </c>
      <c r="K5" s="153" t="s">
        <v>236</v>
      </c>
      <c r="L5" s="214">
        <v>15</v>
      </c>
    </row>
    <row r="6" spans="1:12" x14ac:dyDescent="0.25">
      <c r="A6" s="21" t="s">
        <v>193</v>
      </c>
      <c r="B6" s="12"/>
      <c r="C6" s="12"/>
      <c r="D6" s="12"/>
      <c r="E6" s="12"/>
      <c r="F6" s="30">
        <f>SUM(F7:F8)</f>
        <v>60</v>
      </c>
      <c r="G6" s="21"/>
      <c r="H6" s="12"/>
      <c r="I6" s="12"/>
      <c r="J6" s="12"/>
      <c r="K6" s="12"/>
      <c r="L6" s="173">
        <f>SUM(L7:L8)</f>
        <v>90</v>
      </c>
    </row>
    <row r="7" spans="1:12" ht="180" x14ac:dyDescent="0.25">
      <c r="A7" s="174" t="s">
        <v>237</v>
      </c>
      <c r="B7" s="175" t="s">
        <v>238</v>
      </c>
      <c r="C7" s="41">
        <v>3</v>
      </c>
      <c r="D7" s="42" t="s">
        <v>0</v>
      </c>
      <c r="E7" s="42" t="s">
        <v>3</v>
      </c>
      <c r="F7" s="401">
        <v>45</v>
      </c>
      <c r="G7" s="438" t="s">
        <v>239</v>
      </c>
      <c r="H7" s="434" t="s">
        <v>240</v>
      </c>
      <c r="I7" s="152">
        <v>3</v>
      </c>
      <c r="J7" s="153" t="s">
        <v>0</v>
      </c>
      <c r="K7" s="153" t="s">
        <v>3</v>
      </c>
      <c r="L7" s="43">
        <v>45</v>
      </c>
    </row>
    <row r="8" spans="1:12" ht="162" x14ac:dyDescent="0.25">
      <c r="A8" s="437" t="s">
        <v>518</v>
      </c>
      <c r="B8" s="182" t="s">
        <v>519</v>
      </c>
      <c r="C8" s="47">
        <v>1</v>
      </c>
      <c r="D8" s="48" t="s">
        <v>0</v>
      </c>
      <c r="E8" s="48" t="s">
        <v>236</v>
      </c>
      <c r="F8" s="421">
        <v>15</v>
      </c>
      <c r="G8" s="439" t="s">
        <v>241</v>
      </c>
      <c r="H8" s="179" t="s">
        <v>242</v>
      </c>
      <c r="I8" s="156">
        <v>3</v>
      </c>
      <c r="J8" s="157" t="s">
        <v>0</v>
      </c>
      <c r="K8" s="157" t="s">
        <v>3</v>
      </c>
      <c r="L8" s="49">
        <v>45</v>
      </c>
    </row>
    <row r="9" spans="1:12" ht="18" x14ac:dyDescent="0.25">
      <c r="A9" t="s">
        <v>199</v>
      </c>
      <c r="B9" s="209"/>
      <c r="C9" s="210"/>
      <c r="D9" s="211"/>
      <c r="E9" s="211"/>
      <c r="F9" s="216"/>
      <c r="G9" s="217"/>
      <c r="H9" s="217"/>
      <c r="I9" s="217"/>
      <c r="J9" s="217"/>
      <c r="K9" s="217"/>
      <c r="L9" s="172">
        <f>SUM(L10)</f>
        <v>45</v>
      </c>
    </row>
    <row r="10" spans="1:12" ht="109.2" x14ac:dyDescent="0.25">
      <c r="A10" s="51"/>
      <c r="B10" s="218"/>
      <c r="C10" s="52"/>
      <c r="D10" s="53"/>
      <c r="E10" s="53"/>
      <c r="F10" s="216"/>
      <c r="G10" s="219" t="s">
        <v>243</v>
      </c>
      <c r="H10" s="220" t="s">
        <v>244</v>
      </c>
      <c r="I10" s="221">
        <v>3</v>
      </c>
      <c r="J10" s="222" t="s">
        <v>0</v>
      </c>
      <c r="K10" s="222" t="s">
        <v>3</v>
      </c>
      <c r="L10" s="223">
        <v>45</v>
      </c>
    </row>
    <row r="11" spans="1:12" x14ac:dyDescent="0.25">
      <c r="A11" t="s">
        <v>199</v>
      </c>
      <c r="F11" s="194"/>
      <c r="G11" s="21"/>
      <c r="H11" s="12"/>
      <c r="I11" s="12"/>
      <c r="J11" s="12"/>
      <c r="K11" s="12"/>
      <c r="L11" s="373">
        <f>SUM(L12)</f>
        <v>45</v>
      </c>
    </row>
    <row r="12" spans="1:12" ht="109.2" x14ac:dyDescent="0.25">
      <c r="A12" s="224"/>
      <c r="B12" s="225"/>
      <c r="C12" s="52"/>
      <c r="D12" s="53"/>
      <c r="E12" s="53"/>
      <c r="F12" s="207"/>
      <c r="G12" s="441" t="s">
        <v>243</v>
      </c>
      <c r="H12" s="151" t="s">
        <v>633</v>
      </c>
      <c r="I12" s="432">
        <v>3</v>
      </c>
      <c r="J12" s="433" t="s">
        <v>0</v>
      </c>
      <c r="K12" s="433" t="s">
        <v>3</v>
      </c>
      <c r="L12" s="223">
        <v>45</v>
      </c>
    </row>
    <row r="13" spans="1:12" x14ac:dyDescent="0.25">
      <c r="A13" t="s">
        <v>210</v>
      </c>
      <c r="F13" s="226">
        <f>SUM(F14:F15)</f>
        <v>60</v>
      </c>
      <c r="G13" s="21"/>
      <c r="H13" s="12"/>
      <c r="I13" s="12"/>
      <c r="J13" s="12"/>
      <c r="K13" s="12"/>
      <c r="L13" s="13"/>
    </row>
    <row r="14" spans="1:12" ht="36" x14ac:dyDescent="0.25">
      <c r="A14" s="174" t="s">
        <v>245</v>
      </c>
      <c r="B14" s="175" t="s">
        <v>246</v>
      </c>
      <c r="C14" s="41">
        <v>3</v>
      </c>
      <c r="D14" s="42" t="s">
        <v>0</v>
      </c>
      <c r="E14" s="42" t="s">
        <v>3</v>
      </c>
      <c r="F14" s="43">
        <v>45</v>
      </c>
      <c r="G14" s="5"/>
      <c r="H14" s="5"/>
      <c r="I14" s="5"/>
      <c r="J14" s="5"/>
      <c r="K14" s="5"/>
      <c r="L14" s="5"/>
    </row>
    <row r="15" spans="1:12" ht="162" x14ac:dyDescent="0.25">
      <c r="A15" s="402" t="s">
        <v>518</v>
      </c>
      <c r="B15" s="149" t="s">
        <v>519</v>
      </c>
      <c r="C15" s="44">
        <v>1</v>
      </c>
      <c r="D15" s="45" t="s">
        <v>0</v>
      </c>
      <c r="E15" s="45" t="s">
        <v>236</v>
      </c>
      <c r="F15" s="216">
        <v>15</v>
      </c>
      <c r="G15" s="25"/>
      <c r="H15" s="7"/>
      <c r="I15" s="7"/>
      <c r="J15" s="7"/>
      <c r="K15" s="25"/>
      <c r="L15" s="7"/>
    </row>
    <row r="16" spans="1:12" ht="18" x14ac:dyDescent="0.25">
      <c r="A16" s="21" t="s">
        <v>215</v>
      </c>
      <c r="B16" s="204"/>
      <c r="C16" s="205"/>
      <c r="D16" s="206"/>
      <c r="E16" s="206"/>
      <c r="F16" s="207"/>
      <c r="G16" s="12"/>
      <c r="H16" s="12"/>
      <c r="I16" s="12"/>
      <c r="J16" s="12"/>
      <c r="K16" s="12"/>
      <c r="L16" s="30">
        <f>SUM(L17)</f>
        <v>45</v>
      </c>
    </row>
    <row r="17" spans="1:12" ht="93.6" x14ac:dyDescent="0.25">
      <c r="A17" s="199"/>
      <c r="B17" s="200"/>
      <c r="C17" s="201"/>
      <c r="D17" s="202"/>
      <c r="E17" s="202"/>
      <c r="F17" s="203"/>
      <c r="G17" s="219" t="s">
        <v>247</v>
      </c>
      <c r="H17" s="220" t="s">
        <v>248</v>
      </c>
      <c r="I17" s="221">
        <v>3</v>
      </c>
      <c r="J17" s="222" t="s">
        <v>0</v>
      </c>
      <c r="K17" s="222" t="s">
        <v>3</v>
      </c>
      <c r="L17" s="223">
        <v>45</v>
      </c>
    </row>
    <row r="18" spans="1:12" ht="18" x14ac:dyDescent="0.25">
      <c r="A18" s="233"/>
      <c r="B18" s="239"/>
      <c r="C18" s="257"/>
      <c r="D18" s="425"/>
      <c r="E18" s="425"/>
      <c r="F18" s="212"/>
      <c r="G18" s="241"/>
      <c r="H18" s="242"/>
      <c r="I18" s="243"/>
      <c r="J18" s="426"/>
      <c r="K18" s="426"/>
      <c r="L18" s="427"/>
    </row>
    <row r="19" spans="1:12" ht="18" x14ac:dyDescent="0.25">
      <c r="A19" s="233"/>
      <c r="B19" s="239"/>
      <c r="C19" s="257"/>
      <c r="D19" s="425"/>
      <c r="E19" s="425"/>
      <c r="F19" s="212"/>
      <c r="G19" s="241"/>
      <c r="H19" s="242"/>
      <c r="I19" s="243"/>
      <c r="J19" s="426"/>
      <c r="K19" s="426"/>
      <c r="L19" s="427"/>
    </row>
    <row r="20" spans="1:12" ht="18" x14ac:dyDescent="0.25">
      <c r="A20" s="235"/>
      <c r="B20" s="408"/>
      <c r="C20" s="409"/>
      <c r="D20" s="410"/>
      <c r="E20" s="410"/>
      <c r="F20" s="216"/>
      <c r="G20" s="251"/>
      <c r="H20" s="405"/>
      <c r="I20" s="252"/>
      <c r="J20" s="406"/>
      <c r="K20" s="406"/>
      <c r="L20" s="404"/>
    </row>
    <row r="21" spans="1:12" x14ac:dyDescent="0.25">
      <c r="A21" s="12" t="s">
        <v>219</v>
      </c>
      <c r="F21" s="226"/>
      <c r="L21" s="226">
        <f>SUM(L22)</f>
        <v>45</v>
      </c>
    </row>
    <row r="22" spans="1:12" s="443" customFormat="1" ht="18" x14ac:dyDescent="0.3">
      <c r="A22" s="224"/>
      <c r="B22" s="225"/>
      <c r="C22" s="52"/>
      <c r="D22" s="53"/>
      <c r="E22" s="53"/>
      <c r="F22" s="207"/>
      <c r="G22" s="195" t="s">
        <v>530</v>
      </c>
      <c r="H22" s="213" t="s">
        <v>531</v>
      </c>
      <c r="I22" s="197">
        <v>3</v>
      </c>
      <c r="J22" s="198" t="s">
        <v>0</v>
      </c>
      <c r="K22" s="198" t="s">
        <v>3</v>
      </c>
      <c r="L22" s="214">
        <v>45</v>
      </c>
    </row>
    <row r="23" spans="1:12" x14ac:dyDescent="0.25">
      <c r="A23" t="s">
        <v>224</v>
      </c>
      <c r="F23" s="226">
        <f>SUM(F24:F24)</f>
        <v>45</v>
      </c>
      <c r="L23" s="226">
        <f>SUM(L24:L25)</f>
        <v>60</v>
      </c>
    </row>
    <row r="24" spans="1:12" s="443" customFormat="1" ht="77.400000000000006" customHeight="1" x14ac:dyDescent="0.3">
      <c r="A24" s="199" t="s">
        <v>249</v>
      </c>
      <c r="B24" s="200" t="s">
        <v>250</v>
      </c>
      <c r="C24" s="201">
        <v>3</v>
      </c>
      <c r="D24" s="202" t="s">
        <v>0</v>
      </c>
      <c r="E24" s="202" t="s">
        <v>3</v>
      </c>
      <c r="F24" s="203">
        <v>45</v>
      </c>
      <c r="G24" s="150" t="s">
        <v>251</v>
      </c>
      <c r="H24" s="434" t="s">
        <v>252</v>
      </c>
      <c r="I24" s="152">
        <v>3</v>
      </c>
      <c r="J24" s="153" t="s">
        <v>0</v>
      </c>
      <c r="K24" s="153" t="s">
        <v>3</v>
      </c>
      <c r="L24" s="154">
        <v>45</v>
      </c>
    </row>
    <row r="25" spans="1:12" s="443" customFormat="1" ht="162" x14ac:dyDescent="0.3">
      <c r="A25" s="235"/>
      <c r="B25" s="236"/>
      <c r="C25" s="409"/>
      <c r="D25" s="410"/>
      <c r="E25" s="410"/>
      <c r="F25" s="212"/>
      <c r="G25" s="444" t="s">
        <v>532</v>
      </c>
      <c r="H25" s="179" t="s">
        <v>529</v>
      </c>
      <c r="I25" s="156">
        <v>1</v>
      </c>
      <c r="J25" s="157" t="s">
        <v>0</v>
      </c>
      <c r="K25" s="157" t="s">
        <v>236</v>
      </c>
      <c r="L25" s="427">
        <v>15</v>
      </c>
    </row>
    <row r="26" spans="1:12" x14ac:dyDescent="0.25">
      <c r="A26" s="25" t="s">
        <v>522</v>
      </c>
      <c r="F26" s="65">
        <f>SUM(F27:F28)</f>
        <v>90</v>
      </c>
      <c r="G26" s="12"/>
      <c r="H26" s="12"/>
      <c r="I26" s="12"/>
      <c r="J26" s="12"/>
      <c r="K26" s="12"/>
      <c r="L26" s="65"/>
    </row>
    <row r="27" spans="1:12" ht="72" x14ac:dyDescent="0.25">
      <c r="A27" s="429" t="s">
        <v>243</v>
      </c>
      <c r="B27" s="175" t="s">
        <v>523</v>
      </c>
      <c r="C27" s="41">
        <v>3</v>
      </c>
      <c r="D27" s="42" t="s">
        <v>0</v>
      </c>
      <c r="E27" s="42" t="s">
        <v>3</v>
      </c>
      <c r="F27" s="43">
        <v>45</v>
      </c>
      <c r="G27" s="150"/>
      <c r="H27" s="151"/>
      <c r="I27" s="152"/>
      <c r="J27" s="153"/>
      <c r="K27" s="153"/>
      <c r="L27" s="154"/>
    </row>
    <row r="28" spans="1:12" ht="36" x14ac:dyDescent="0.25">
      <c r="A28" s="431" t="s">
        <v>234</v>
      </c>
      <c r="B28" s="182" t="s">
        <v>235</v>
      </c>
      <c r="C28" s="47">
        <v>3</v>
      </c>
      <c r="D28" s="48" t="s">
        <v>0</v>
      </c>
      <c r="E28" s="48" t="s">
        <v>3</v>
      </c>
      <c r="F28" s="46">
        <v>45</v>
      </c>
      <c r="G28" s="241"/>
      <c r="H28" s="428"/>
      <c r="I28" s="243"/>
      <c r="J28" s="426"/>
      <c r="K28" s="426"/>
      <c r="L28" s="427"/>
    </row>
    <row r="29" spans="1:12" x14ac:dyDescent="0.25">
      <c r="A29" t="s">
        <v>225</v>
      </c>
      <c r="F29" s="65">
        <f>SUM(F30)</f>
        <v>21</v>
      </c>
      <c r="G29" s="21"/>
      <c r="H29" s="12"/>
      <c r="I29" s="12"/>
      <c r="J29" s="12"/>
      <c r="K29" s="12"/>
      <c r="L29" s="13"/>
    </row>
    <row r="30" spans="1:12" ht="36" x14ac:dyDescent="0.25">
      <c r="A30" s="224" t="s">
        <v>514</v>
      </c>
      <c r="B30" s="225" t="s">
        <v>515</v>
      </c>
      <c r="C30" s="52">
        <v>3</v>
      </c>
      <c r="D30" s="53" t="s">
        <v>0</v>
      </c>
      <c r="E30" s="53" t="s">
        <v>3</v>
      </c>
      <c r="F30" s="207">
        <v>21</v>
      </c>
      <c r="G30" s="13"/>
      <c r="H30" s="13"/>
      <c r="I30" s="13"/>
      <c r="J30" s="13"/>
      <c r="K30" s="13"/>
      <c r="L30" s="13"/>
    </row>
    <row r="31" spans="1:12" x14ac:dyDescent="0.25">
      <c r="A31" t="s">
        <v>229</v>
      </c>
      <c r="F31" s="173">
        <f>SUM(F32)</f>
        <v>45</v>
      </c>
      <c r="G31" s="21"/>
      <c r="H31" s="12"/>
      <c r="I31" s="12"/>
      <c r="J31" s="12"/>
      <c r="K31" s="12"/>
      <c r="L31" s="173">
        <f>SUM(L32:L32)</f>
        <v>45</v>
      </c>
    </row>
    <row r="32" spans="1:12" ht="109.2" x14ac:dyDescent="0.25">
      <c r="A32" s="199" t="s">
        <v>253</v>
      </c>
      <c r="B32" s="200" t="s">
        <v>254</v>
      </c>
      <c r="C32" s="201">
        <v>3</v>
      </c>
      <c r="D32" s="202" t="s">
        <v>0</v>
      </c>
      <c r="E32" s="202" t="s">
        <v>3</v>
      </c>
      <c r="F32" s="203">
        <v>45</v>
      </c>
      <c r="G32" s="150" t="s">
        <v>255</v>
      </c>
      <c r="H32" s="151" t="s">
        <v>256</v>
      </c>
      <c r="I32" s="152">
        <v>3</v>
      </c>
      <c r="J32" s="153" t="s">
        <v>0</v>
      </c>
      <c r="K32" s="153" t="s">
        <v>3</v>
      </c>
      <c r="L32" s="154">
        <v>45</v>
      </c>
    </row>
    <row r="33" spans="1:12" ht="18" x14ac:dyDescent="0.25">
      <c r="A33" s="266" t="s">
        <v>320</v>
      </c>
      <c r="B33" s="267"/>
      <c r="C33" s="269"/>
      <c r="D33" s="21"/>
      <c r="E33" s="12"/>
      <c r="F33" s="494">
        <f>F2+F4+F6+F13+F16+F21+F23+F26+F29+F31</f>
        <v>345</v>
      </c>
      <c r="G33" s="13"/>
      <c r="H33" s="13"/>
      <c r="I33" s="21"/>
      <c r="J33" s="12"/>
      <c r="K33" s="12"/>
      <c r="L33" s="494">
        <f>L2+L4+L6+L13+L16+L21+L23+L26+L29+L31</f>
        <v>300</v>
      </c>
    </row>
    <row r="34" spans="1:12" ht="18" x14ac:dyDescent="0.25">
      <c r="A34" s="266" t="s">
        <v>321</v>
      </c>
      <c r="B34" s="270"/>
      <c r="C34" s="269"/>
      <c r="D34" s="21"/>
      <c r="E34" s="12"/>
      <c r="F34" s="323">
        <f>F33/(15*35)</f>
        <v>0.65714285714285714</v>
      </c>
      <c r="G34" s="13"/>
      <c r="H34" s="13"/>
      <c r="I34" s="21"/>
      <c r="J34" s="12"/>
      <c r="K34" s="12"/>
      <c r="L34" s="323">
        <f>L33/(15*35)</f>
        <v>0.5714285714285714</v>
      </c>
    </row>
    <row r="35" spans="1:12" ht="18" x14ac:dyDescent="0.25">
      <c r="A35" s="259" t="s">
        <v>322</v>
      </c>
      <c r="B35" s="260"/>
      <c r="C35" s="261"/>
      <c r="D35" s="21"/>
      <c r="E35" s="12"/>
      <c r="F35" s="494">
        <f>(F34+L34)/2</f>
        <v>0.61428571428571432</v>
      </c>
      <c r="G35" s="21"/>
      <c r="H35" s="12"/>
      <c r="I35" s="12"/>
      <c r="J35" s="12"/>
      <c r="K35" s="12"/>
      <c r="L35" s="15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4"/>
  <sheetViews>
    <sheetView topLeftCell="A16" workbookViewId="0">
      <selection activeCell="D30" sqref="D30"/>
    </sheetView>
  </sheetViews>
  <sheetFormatPr defaultRowHeight="13.8" x14ac:dyDescent="0.25"/>
  <cols>
    <col min="1" max="1" width="25.5" style="72" customWidth="1"/>
    <col min="2" max="2" width="6.3984375" style="72" customWidth="1"/>
    <col min="3" max="3" width="10.3984375" style="72" customWidth="1"/>
    <col min="4" max="4" width="8.796875" style="72"/>
    <col min="5" max="5" width="7.19921875" style="99" customWidth="1"/>
    <col min="6" max="6" width="10.19921875" style="549" customWidth="1"/>
    <col min="7" max="16384" width="8.796875" style="72"/>
  </cols>
  <sheetData>
    <row r="1" spans="1:6" x14ac:dyDescent="0.25">
      <c r="A1" s="96"/>
      <c r="B1" s="93"/>
      <c r="C1" s="69" t="s">
        <v>512</v>
      </c>
      <c r="D1" s="70"/>
      <c r="E1" s="602"/>
      <c r="F1" s="381" t="s">
        <v>513</v>
      </c>
    </row>
    <row r="2" spans="1:6" ht="21" x14ac:dyDescent="0.25">
      <c r="A2" s="923" t="s">
        <v>330</v>
      </c>
      <c r="B2" s="924"/>
      <c r="C2" s="898">
        <f>SUM(C3:C7)</f>
        <v>90.5</v>
      </c>
      <c r="D2" s="96"/>
      <c r="E2" s="97"/>
      <c r="F2" s="925">
        <f>SUM(F3:F5)</f>
        <v>112.5</v>
      </c>
    </row>
    <row r="3" spans="1:6" ht="21" x14ac:dyDescent="0.4">
      <c r="A3" s="457" t="s">
        <v>331</v>
      </c>
      <c r="B3" s="116" t="s">
        <v>667</v>
      </c>
      <c r="C3" s="87">
        <v>24</v>
      </c>
      <c r="D3" s="457" t="s">
        <v>882</v>
      </c>
      <c r="E3" s="824" t="s">
        <v>667</v>
      </c>
      <c r="F3" s="618">
        <v>45</v>
      </c>
    </row>
    <row r="4" spans="1:6" ht="21" x14ac:dyDescent="0.4">
      <c r="A4" s="457" t="s">
        <v>332</v>
      </c>
      <c r="B4" s="116" t="s">
        <v>667</v>
      </c>
      <c r="C4" s="87">
        <v>21</v>
      </c>
      <c r="D4" s="457" t="s">
        <v>873</v>
      </c>
      <c r="E4" s="824" t="s">
        <v>670</v>
      </c>
      <c r="F4" s="849">
        <v>22.5</v>
      </c>
    </row>
    <row r="5" spans="1:6" ht="21" x14ac:dyDescent="0.4">
      <c r="A5" s="457" t="s">
        <v>346</v>
      </c>
      <c r="B5" s="116" t="s">
        <v>667</v>
      </c>
      <c r="C5" s="844">
        <v>8</v>
      </c>
      <c r="D5" s="457" t="s">
        <v>872</v>
      </c>
      <c r="E5" s="824" t="s">
        <v>668</v>
      </c>
      <c r="F5" s="727">
        <v>45</v>
      </c>
    </row>
    <row r="6" spans="1:6" ht="21" x14ac:dyDescent="0.4">
      <c r="A6" s="823" t="s">
        <v>333</v>
      </c>
      <c r="B6" s="129" t="s">
        <v>670</v>
      </c>
      <c r="C6" s="844">
        <v>22.5</v>
      </c>
      <c r="D6" s="551"/>
      <c r="E6" s="926"/>
      <c r="F6" s="927"/>
    </row>
    <row r="7" spans="1:6" ht="21" x14ac:dyDescent="0.4">
      <c r="A7" s="823" t="s">
        <v>335</v>
      </c>
      <c r="B7" s="129" t="s">
        <v>670</v>
      </c>
      <c r="C7" s="844">
        <v>15</v>
      </c>
      <c r="D7" s="551"/>
      <c r="E7" s="926"/>
      <c r="F7" s="927"/>
    </row>
    <row r="8" spans="1:6" ht="21" x14ac:dyDescent="0.25">
      <c r="A8" s="871" t="s">
        <v>337</v>
      </c>
      <c r="B8" s="73"/>
      <c r="C8" s="623">
        <f>SUM(C9:C13)</f>
        <v>96</v>
      </c>
      <c r="D8" s="551"/>
      <c r="E8" s="926"/>
      <c r="F8" s="621">
        <f>SUM(F9:F12)</f>
        <v>104.25</v>
      </c>
    </row>
    <row r="9" spans="1:6" ht="21" x14ac:dyDescent="0.25">
      <c r="A9" s="457" t="s">
        <v>338</v>
      </c>
      <c r="B9" s="116" t="s">
        <v>667</v>
      </c>
      <c r="C9" s="928">
        <v>42</v>
      </c>
      <c r="D9" s="457" t="s">
        <v>877</v>
      </c>
      <c r="E9" s="116" t="s">
        <v>667</v>
      </c>
      <c r="F9" s="618">
        <v>30</v>
      </c>
    </row>
    <row r="10" spans="1:6" s="99" customFormat="1" ht="21" x14ac:dyDescent="0.4">
      <c r="A10" s="823" t="s">
        <v>333</v>
      </c>
      <c r="B10" s="129" t="s">
        <v>670</v>
      </c>
      <c r="C10" s="928">
        <v>21</v>
      </c>
      <c r="D10" s="457" t="s">
        <v>877</v>
      </c>
      <c r="E10" s="129" t="s">
        <v>670</v>
      </c>
      <c r="F10" s="618">
        <v>22.5</v>
      </c>
    </row>
    <row r="11" spans="1:6" s="99" customFormat="1" ht="21" x14ac:dyDescent="0.4">
      <c r="A11" s="823" t="s">
        <v>340</v>
      </c>
      <c r="B11" s="129" t="s">
        <v>670</v>
      </c>
      <c r="C11" s="928">
        <v>3</v>
      </c>
      <c r="D11" s="823" t="s">
        <v>873</v>
      </c>
      <c r="E11" s="129" t="s">
        <v>670</v>
      </c>
      <c r="F11" s="618">
        <v>18</v>
      </c>
    </row>
    <row r="12" spans="1:6" s="99" customFormat="1" ht="21" x14ac:dyDescent="0.4">
      <c r="A12" s="823" t="s">
        <v>819</v>
      </c>
      <c r="B12" s="129" t="s">
        <v>670</v>
      </c>
      <c r="C12" s="347">
        <v>15</v>
      </c>
      <c r="D12" s="823" t="s">
        <v>872</v>
      </c>
      <c r="E12" s="129" t="s">
        <v>668</v>
      </c>
      <c r="F12" s="618">
        <v>33.75</v>
      </c>
    </row>
    <row r="13" spans="1:6" s="99" customFormat="1" ht="21" x14ac:dyDescent="0.4">
      <c r="A13" s="823" t="s">
        <v>335</v>
      </c>
      <c r="B13" s="129" t="s">
        <v>670</v>
      </c>
      <c r="C13" s="347">
        <v>15</v>
      </c>
      <c r="D13" s="73"/>
      <c r="E13" s="929"/>
      <c r="F13" s="930"/>
    </row>
    <row r="14" spans="1:6" ht="21" x14ac:dyDescent="0.25">
      <c r="A14" s="286" t="s">
        <v>328</v>
      </c>
      <c r="B14" s="81"/>
      <c r="C14" s="623">
        <f>SUM(C15:C16)</f>
        <v>16.5</v>
      </c>
      <c r="D14" s="73"/>
      <c r="E14" s="929"/>
      <c r="F14" s="623"/>
    </row>
    <row r="15" spans="1:6" ht="21" x14ac:dyDescent="0.25">
      <c r="A15" s="931" t="s">
        <v>821</v>
      </c>
      <c r="B15" s="116" t="s">
        <v>667</v>
      </c>
      <c r="C15" s="81">
        <v>4.5</v>
      </c>
      <c r="D15" s="296"/>
      <c r="E15" s="969"/>
      <c r="F15" s="979"/>
    </row>
    <row r="16" spans="1:6" ht="21" x14ac:dyDescent="0.4">
      <c r="A16" s="823" t="s">
        <v>335</v>
      </c>
      <c r="B16" s="129" t="s">
        <v>670</v>
      </c>
      <c r="C16" s="81">
        <f>3*4</f>
        <v>12</v>
      </c>
      <c r="D16" s="76"/>
      <c r="E16" s="970"/>
      <c r="F16" s="978"/>
    </row>
    <row r="17" spans="1:6" ht="21" x14ac:dyDescent="0.25">
      <c r="A17" s="286" t="s">
        <v>343</v>
      </c>
      <c r="B17" s="81"/>
      <c r="C17" s="372">
        <f>SUM(C18:C22)</f>
        <v>149</v>
      </c>
      <c r="D17" s="73"/>
      <c r="E17" s="929"/>
      <c r="F17" s="621">
        <f>SUM(F18:F23)</f>
        <v>155.25</v>
      </c>
    </row>
    <row r="18" spans="1:6" ht="21" x14ac:dyDescent="0.25">
      <c r="A18" s="457" t="s">
        <v>814</v>
      </c>
      <c r="B18" s="116" t="s">
        <v>670</v>
      </c>
      <c r="C18" s="87">
        <f>2*12</f>
        <v>24</v>
      </c>
      <c r="D18" s="457" t="s">
        <v>883</v>
      </c>
      <c r="E18" s="116" t="s">
        <v>667</v>
      </c>
      <c r="F18" s="932">
        <v>24</v>
      </c>
    </row>
    <row r="19" spans="1:6" s="99" customFormat="1" ht="21" x14ac:dyDescent="0.4">
      <c r="A19" s="457" t="s">
        <v>815</v>
      </c>
      <c r="B19" s="129" t="s">
        <v>670</v>
      </c>
      <c r="C19" s="87">
        <f>2*10</f>
        <v>20</v>
      </c>
      <c r="D19" s="457" t="s">
        <v>884</v>
      </c>
      <c r="E19" s="520" t="s">
        <v>667</v>
      </c>
      <c r="F19" s="932">
        <v>30</v>
      </c>
    </row>
    <row r="20" spans="1:6" s="99" customFormat="1" ht="21" x14ac:dyDescent="0.4">
      <c r="A20" s="823" t="s">
        <v>817</v>
      </c>
      <c r="B20" s="129" t="s">
        <v>670</v>
      </c>
      <c r="C20" s="87">
        <f>3*15</f>
        <v>45</v>
      </c>
      <c r="D20" s="457" t="s">
        <v>885</v>
      </c>
      <c r="E20" s="520" t="s">
        <v>1</v>
      </c>
      <c r="F20" s="932">
        <v>22.5</v>
      </c>
    </row>
    <row r="21" spans="1:6" s="99" customFormat="1" ht="21" x14ac:dyDescent="0.4">
      <c r="A21" s="823" t="s">
        <v>818</v>
      </c>
      <c r="B21" s="129" t="s">
        <v>670</v>
      </c>
      <c r="C21" s="87">
        <f>3*15</f>
        <v>45</v>
      </c>
      <c r="D21" s="457" t="s">
        <v>886</v>
      </c>
      <c r="E21" s="520" t="s">
        <v>1</v>
      </c>
      <c r="F21" s="932">
        <v>22.5</v>
      </c>
    </row>
    <row r="22" spans="1:6" ht="21" x14ac:dyDescent="0.4">
      <c r="A22" s="823" t="s">
        <v>335</v>
      </c>
      <c r="B22" s="129" t="s">
        <v>670</v>
      </c>
      <c r="C22" s="87">
        <f>1*15</f>
        <v>15</v>
      </c>
      <c r="D22" s="457" t="s">
        <v>887</v>
      </c>
      <c r="E22" s="520" t="s">
        <v>1</v>
      </c>
      <c r="F22" s="727">
        <v>22.5</v>
      </c>
    </row>
    <row r="23" spans="1:6" ht="21" x14ac:dyDescent="0.4">
      <c r="A23" s="823"/>
      <c r="B23" s="129"/>
      <c r="C23" s="87"/>
      <c r="D23" s="457" t="s">
        <v>872</v>
      </c>
      <c r="E23" s="520" t="s">
        <v>668</v>
      </c>
      <c r="F23" s="727">
        <v>33.75</v>
      </c>
    </row>
    <row r="24" spans="1:6" ht="21" x14ac:dyDescent="0.25">
      <c r="A24" s="935" t="s">
        <v>348</v>
      </c>
      <c r="B24" s="73"/>
      <c r="C24" s="611">
        <f>SUM(C25:C27)</f>
        <v>60</v>
      </c>
      <c r="D24" s="87"/>
      <c r="E24" s="87"/>
      <c r="F24" s="844"/>
    </row>
    <row r="25" spans="1:6" ht="21" x14ac:dyDescent="0.4">
      <c r="A25" s="823" t="s">
        <v>832</v>
      </c>
      <c r="B25" s="129" t="s">
        <v>670</v>
      </c>
      <c r="C25" s="87">
        <v>22.5</v>
      </c>
      <c r="D25" s="81"/>
      <c r="E25" s="73"/>
      <c r="F25" s="87"/>
    </row>
    <row r="26" spans="1:6" ht="21" x14ac:dyDescent="0.4">
      <c r="A26" s="823" t="s">
        <v>833</v>
      </c>
      <c r="B26" s="129" t="s">
        <v>670</v>
      </c>
      <c r="C26" s="87">
        <v>22.5</v>
      </c>
      <c r="D26" s="83"/>
      <c r="E26" s="73"/>
      <c r="F26" s="87"/>
    </row>
    <row r="27" spans="1:6" ht="21" x14ac:dyDescent="0.4">
      <c r="A27" s="823" t="s">
        <v>335</v>
      </c>
      <c r="B27" s="129" t="s">
        <v>670</v>
      </c>
      <c r="C27" s="87">
        <v>15</v>
      </c>
      <c r="D27" s="83"/>
      <c r="E27" s="73"/>
      <c r="F27" s="87"/>
    </row>
    <row r="28" spans="1:6" s="80" customFormat="1" ht="21" x14ac:dyDescent="0.25">
      <c r="A28" s="286" t="s">
        <v>835</v>
      </c>
      <c r="B28" s="81"/>
      <c r="C28" s="286">
        <f>SUM(C29:C31)</f>
        <v>81</v>
      </c>
      <c r="D28" s="933"/>
      <c r="E28" s="933"/>
      <c r="F28" s="902">
        <f>SUM(F29)</f>
        <v>22.5</v>
      </c>
    </row>
    <row r="29" spans="1:6" s="80" customFormat="1" ht="21" x14ac:dyDescent="0.4">
      <c r="A29" s="823" t="s">
        <v>333</v>
      </c>
      <c r="B29" s="129" t="s">
        <v>670</v>
      </c>
      <c r="C29" s="81">
        <f>3*12</f>
        <v>36</v>
      </c>
      <c r="D29" s="823" t="s">
        <v>873</v>
      </c>
      <c r="E29" s="129" t="s">
        <v>670</v>
      </c>
      <c r="F29" s="903">
        <v>22.5</v>
      </c>
    </row>
    <row r="30" spans="1:6" s="80" customFormat="1" ht="21" x14ac:dyDescent="0.4">
      <c r="A30" s="823" t="s">
        <v>346</v>
      </c>
      <c r="B30" s="129" t="s">
        <v>667</v>
      </c>
      <c r="C30" s="81">
        <f>3*13</f>
        <v>39</v>
      </c>
      <c r="D30" s="312"/>
      <c r="E30" s="312"/>
      <c r="F30" s="312"/>
    </row>
    <row r="31" spans="1:6" s="80" customFormat="1" ht="21" x14ac:dyDescent="0.4">
      <c r="A31" s="823" t="s">
        <v>335</v>
      </c>
      <c r="B31" s="129" t="s">
        <v>670</v>
      </c>
      <c r="C31" s="81">
        <f>2*3</f>
        <v>6</v>
      </c>
      <c r="D31" s="818"/>
      <c r="E31" s="818"/>
      <c r="F31" s="980"/>
    </row>
    <row r="32" spans="1:6" ht="18" x14ac:dyDescent="0.25">
      <c r="A32" s="276" t="s">
        <v>320</v>
      </c>
      <c r="B32" s="87"/>
      <c r="C32" s="829">
        <f>C2+C8+C14+C17+C24+C28</f>
        <v>493</v>
      </c>
      <c r="D32" s="87"/>
      <c r="E32" s="87"/>
      <c r="F32" s="829">
        <f>F2+F8+F14+F17+F24+F28</f>
        <v>394.5</v>
      </c>
    </row>
    <row r="33" spans="1:6" ht="18" x14ac:dyDescent="0.25">
      <c r="A33" s="276" t="s">
        <v>321</v>
      </c>
      <c r="B33" s="87"/>
      <c r="C33" s="522">
        <f>C32/(15*35)</f>
        <v>0.93904761904761902</v>
      </c>
      <c r="D33" s="87"/>
      <c r="E33" s="87"/>
      <c r="F33" s="522">
        <f>F32/(15*35)</f>
        <v>0.75142857142857145</v>
      </c>
    </row>
    <row r="34" spans="1:6" ht="18" x14ac:dyDescent="0.25">
      <c r="A34" s="276" t="s">
        <v>322</v>
      </c>
      <c r="B34" s="87"/>
      <c r="C34" s="522">
        <f>(C33+F33)/2</f>
        <v>0.84523809523809523</v>
      </c>
      <c r="D34" s="87"/>
      <c r="E34" s="87"/>
      <c r="F34" s="347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F53"/>
  <sheetViews>
    <sheetView workbookViewId="0">
      <selection activeCell="D4" sqref="D4"/>
    </sheetView>
  </sheetViews>
  <sheetFormatPr defaultRowHeight="13.8" x14ac:dyDescent="0.25"/>
  <cols>
    <col min="1" max="1" width="17.69921875" style="72" customWidth="1"/>
    <col min="2" max="2" width="6.796875" style="72" customWidth="1"/>
    <col min="3" max="3" width="10.296875" style="72" customWidth="1"/>
    <col min="4" max="4" width="8.796875" style="72"/>
    <col min="5" max="5" width="8.796875" style="513"/>
    <col min="6" max="6" width="9.8984375" style="549" customWidth="1"/>
    <col min="7" max="16384" width="8.796875" style="72"/>
  </cols>
  <sheetData>
    <row r="1" spans="1:6" x14ac:dyDescent="0.25">
      <c r="A1" s="92"/>
      <c r="B1" s="98"/>
      <c r="C1" s="71" t="s">
        <v>512</v>
      </c>
      <c r="D1" s="70"/>
      <c r="F1" s="71" t="s">
        <v>513</v>
      </c>
    </row>
    <row r="2" spans="1:6" ht="21" x14ac:dyDescent="0.25">
      <c r="A2" s="923" t="s">
        <v>813</v>
      </c>
      <c r="B2" s="296"/>
      <c r="C2" s="936">
        <f>SUM(C3:C8)</f>
        <v>165</v>
      </c>
      <c r="D2" s="319"/>
      <c r="E2" s="937"/>
      <c r="F2" s="938">
        <f>SUM(F3:F8)</f>
        <v>163.125</v>
      </c>
    </row>
    <row r="3" spans="1:6" ht="21" x14ac:dyDescent="0.4">
      <c r="A3" s="457" t="s">
        <v>344</v>
      </c>
      <c r="B3" s="116" t="s">
        <v>667</v>
      </c>
      <c r="C3" s="87">
        <v>45</v>
      </c>
      <c r="D3" s="823" t="s">
        <v>816</v>
      </c>
      <c r="E3" s="129" t="s">
        <v>667</v>
      </c>
      <c r="F3" s="618">
        <v>45</v>
      </c>
    </row>
    <row r="4" spans="1:6" ht="21" x14ac:dyDescent="0.4">
      <c r="A4" s="457" t="s">
        <v>815</v>
      </c>
      <c r="B4" s="129" t="s">
        <v>670</v>
      </c>
      <c r="C4" s="87">
        <v>22.5</v>
      </c>
      <c r="D4" s="823" t="s">
        <v>881</v>
      </c>
      <c r="E4" s="129" t="s">
        <v>670</v>
      </c>
      <c r="F4" s="618">
        <v>22.5</v>
      </c>
    </row>
    <row r="5" spans="1:6" ht="21" x14ac:dyDescent="0.4">
      <c r="A5" s="457" t="s">
        <v>816</v>
      </c>
      <c r="B5" s="116" t="s">
        <v>667</v>
      </c>
      <c r="C5" s="87">
        <v>45</v>
      </c>
      <c r="D5" s="823" t="s">
        <v>880</v>
      </c>
      <c r="E5" s="129" t="s">
        <v>667</v>
      </c>
      <c r="F5" s="618">
        <v>45</v>
      </c>
    </row>
    <row r="6" spans="1:6" s="80" customFormat="1" ht="21" x14ac:dyDescent="0.4">
      <c r="A6" s="823" t="s">
        <v>818</v>
      </c>
      <c r="B6" s="129" t="s">
        <v>670</v>
      </c>
      <c r="C6" s="87">
        <v>22.5</v>
      </c>
      <c r="D6" s="823" t="s">
        <v>879</v>
      </c>
      <c r="E6" s="129" t="s">
        <v>670</v>
      </c>
      <c r="F6" s="81">
        <v>22.5</v>
      </c>
    </row>
    <row r="7" spans="1:6" ht="21" x14ac:dyDescent="0.4">
      <c r="A7" s="823" t="s">
        <v>819</v>
      </c>
      <c r="B7" s="129" t="s">
        <v>670</v>
      </c>
      <c r="C7" s="87">
        <v>15</v>
      </c>
      <c r="D7" s="823" t="s">
        <v>825</v>
      </c>
      <c r="E7" s="129" t="s">
        <v>670</v>
      </c>
      <c r="F7" s="347">
        <v>22.5</v>
      </c>
    </row>
    <row r="8" spans="1:6" ht="21" x14ac:dyDescent="0.4">
      <c r="A8" s="823" t="s">
        <v>335</v>
      </c>
      <c r="B8" s="129" t="s">
        <v>670</v>
      </c>
      <c r="C8" s="87">
        <v>15</v>
      </c>
      <c r="D8" s="823" t="s">
        <v>872</v>
      </c>
      <c r="E8" s="129" t="s">
        <v>668</v>
      </c>
      <c r="F8" s="618">
        <v>5.625</v>
      </c>
    </row>
    <row r="9" spans="1:6" s="80" customFormat="1" ht="21" x14ac:dyDescent="0.25">
      <c r="A9" s="286" t="s">
        <v>350</v>
      </c>
      <c r="B9" s="81"/>
      <c r="C9" s="286">
        <f>SUM(C10:C12)</f>
        <v>39</v>
      </c>
      <c r="D9" s="83"/>
      <c r="E9" s="939"/>
      <c r="F9" s="611">
        <f>SUM(F10)</f>
        <v>17</v>
      </c>
    </row>
    <row r="10" spans="1:6" s="80" customFormat="1" ht="21" x14ac:dyDescent="0.25">
      <c r="A10" s="931" t="s">
        <v>821</v>
      </c>
      <c r="B10" s="116" t="s">
        <v>667</v>
      </c>
      <c r="C10" s="81">
        <v>9</v>
      </c>
      <c r="D10" s="724" t="s">
        <v>837</v>
      </c>
      <c r="E10" s="116" t="s">
        <v>667</v>
      </c>
      <c r="F10" s="934">
        <v>17</v>
      </c>
    </row>
    <row r="11" spans="1:6" s="80" customFormat="1" ht="21" x14ac:dyDescent="0.4">
      <c r="A11" s="823" t="s">
        <v>819</v>
      </c>
      <c r="B11" s="129" t="s">
        <v>670</v>
      </c>
      <c r="C11" s="81">
        <v>15</v>
      </c>
      <c r="D11" s="981"/>
      <c r="E11" s="982"/>
      <c r="F11" s="983"/>
    </row>
    <row r="12" spans="1:6" ht="21" x14ac:dyDescent="0.4">
      <c r="A12" s="823" t="s">
        <v>335</v>
      </c>
      <c r="B12" s="129" t="s">
        <v>670</v>
      </c>
      <c r="C12" s="81">
        <v>15</v>
      </c>
      <c r="D12" s="76"/>
      <c r="E12" s="955"/>
      <c r="F12" s="978"/>
    </row>
    <row r="13" spans="1:6" ht="19.8" customHeight="1" x14ac:dyDescent="0.25">
      <c r="A13" s="940" t="s">
        <v>349</v>
      </c>
      <c r="B13" s="941"/>
      <c r="C13" s="654">
        <f>SUM(C14:C16)</f>
        <v>33</v>
      </c>
      <c r="D13" s="941"/>
      <c r="E13" s="941"/>
      <c r="F13" s="848">
        <f>SUM(F14)</f>
        <v>6</v>
      </c>
    </row>
    <row r="14" spans="1:6" ht="21" x14ac:dyDescent="0.4">
      <c r="A14" s="823" t="s">
        <v>819</v>
      </c>
      <c r="B14" s="129" t="s">
        <v>670</v>
      </c>
      <c r="C14" s="87">
        <v>15</v>
      </c>
      <c r="D14" s="823" t="s">
        <v>837</v>
      </c>
      <c r="E14" s="129" t="s">
        <v>667</v>
      </c>
      <c r="F14" s="618">
        <v>6</v>
      </c>
    </row>
    <row r="15" spans="1:6" ht="21" x14ac:dyDescent="0.4">
      <c r="A15" s="823" t="s">
        <v>335</v>
      </c>
      <c r="B15" s="129" t="s">
        <v>670</v>
      </c>
      <c r="C15" s="87">
        <v>15</v>
      </c>
      <c r="D15" s="981"/>
      <c r="E15" s="937"/>
      <c r="F15" s="979"/>
    </row>
    <row r="16" spans="1:6" ht="21" x14ac:dyDescent="0.25">
      <c r="A16" s="943" t="s">
        <v>821</v>
      </c>
      <c r="B16" s="116" t="s">
        <v>667</v>
      </c>
      <c r="C16" s="87">
        <v>3</v>
      </c>
      <c r="D16" s="78"/>
      <c r="E16" s="955"/>
      <c r="F16" s="978"/>
    </row>
    <row r="17" spans="1:6" ht="21" x14ac:dyDescent="0.25">
      <c r="A17" s="286" t="s">
        <v>851</v>
      </c>
      <c r="B17" s="87"/>
      <c r="C17" s="286">
        <f>SUM(C18:C23)</f>
        <v>104</v>
      </c>
      <c r="D17" s="296"/>
      <c r="E17" s="937"/>
      <c r="F17" s="611">
        <f>SUM(F18:F27)</f>
        <v>254.75</v>
      </c>
    </row>
    <row r="18" spans="1:6" s="80" customFormat="1" ht="21" x14ac:dyDescent="0.25">
      <c r="A18" s="457" t="s">
        <v>333</v>
      </c>
      <c r="B18" s="116" t="s">
        <v>667</v>
      </c>
      <c r="C18" s="285">
        <v>14</v>
      </c>
      <c r="D18" s="457" t="s">
        <v>877</v>
      </c>
      <c r="E18" s="116" t="s">
        <v>670</v>
      </c>
      <c r="F18" s="905">
        <v>22.5</v>
      </c>
    </row>
    <row r="19" spans="1:6" s="80" customFormat="1" ht="21" x14ac:dyDescent="0.4">
      <c r="A19" s="823" t="s">
        <v>333</v>
      </c>
      <c r="B19" s="129" t="s">
        <v>670</v>
      </c>
      <c r="C19" s="285">
        <v>22.5</v>
      </c>
      <c r="D19" s="457" t="s">
        <v>876</v>
      </c>
      <c r="E19" s="129" t="s">
        <v>667</v>
      </c>
      <c r="F19" s="618">
        <v>12</v>
      </c>
    </row>
    <row r="20" spans="1:6" s="80" customFormat="1" ht="21" x14ac:dyDescent="0.4">
      <c r="A20" s="823" t="s">
        <v>347</v>
      </c>
      <c r="B20" s="129" t="s">
        <v>667</v>
      </c>
      <c r="C20" s="285">
        <v>15</v>
      </c>
      <c r="D20" s="457" t="s">
        <v>876</v>
      </c>
      <c r="E20" s="129" t="s">
        <v>670</v>
      </c>
      <c r="F20" s="618">
        <v>16.5</v>
      </c>
    </row>
    <row r="21" spans="1:6" s="80" customFormat="1" ht="21" x14ac:dyDescent="0.4">
      <c r="A21" s="823" t="s">
        <v>347</v>
      </c>
      <c r="B21" s="129" t="s">
        <v>670</v>
      </c>
      <c r="C21" s="285">
        <v>22.5</v>
      </c>
      <c r="D21" s="457" t="s">
        <v>875</v>
      </c>
      <c r="E21" s="129" t="s">
        <v>667</v>
      </c>
      <c r="F21" s="618">
        <v>12</v>
      </c>
    </row>
    <row r="22" spans="1:6" s="80" customFormat="1" ht="21" x14ac:dyDescent="0.4">
      <c r="A22" s="823" t="s">
        <v>819</v>
      </c>
      <c r="B22" s="129" t="s">
        <v>670</v>
      </c>
      <c r="C22" s="285">
        <v>15</v>
      </c>
      <c r="D22" s="457" t="s">
        <v>875</v>
      </c>
      <c r="E22" s="129" t="s">
        <v>670</v>
      </c>
      <c r="F22" s="618">
        <v>16.5</v>
      </c>
    </row>
    <row r="23" spans="1:6" s="80" customFormat="1" ht="21" x14ac:dyDescent="0.4">
      <c r="A23" s="823" t="s">
        <v>335</v>
      </c>
      <c r="B23" s="129" t="s">
        <v>670</v>
      </c>
      <c r="C23" s="285">
        <v>15</v>
      </c>
      <c r="D23" s="823" t="s">
        <v>873</v>
      </c>
      <c r="E23" s="129" t="s">
        <v>667</v>
      </c>
      <c r="F23" s="618">
        <v>14</v>
      </c>
    </row>
    <row r="24" spans="1:6" s="80" customFormat="1" ht="21" x14ac:dyDescent="0.4">
      <c r="A24" s="998"/>
      <c r="B24" s="122"/>
      <c r="C24" s="343"/>
      <c r="D24" s="823" t="s">
        <v>873</v>
      </c>
      <c r="E24" s="129" t="s">
        <v>670</v>
      </c>
      <c r="F24" s="618">
        <v>22.5</v>
      </c>
    </row>
    <row r="25" spans="1:6" s="80" customFormat="1" ht="21" x14ac:dyDescent="0.4">
      <c r="A25" s="1000"/>
      <c r="B25" s="987"/>
      <c r="C25" s="289"/>
      <c r="D25" s="823" t="s">
        <v>872</v>
      </c>
      <c r="E25" s="129" t="s">
        <v>668</v>
      </c>
      <c r="F25" s="618">
        <v>101.25</v>
      </c>
    </row>
    <row r="26" spans="1:6" s="80" customFormat="1" ht="21" x14ac:dyDescent="0.4">
      <c r="A26" s="1000"/>
      <c r="B26" s="987"/>
      <c r="C26" s="289"/>
      <c r="D26" s="823" t="s">
        <v>878</v>
      </c>
      <c r="E26" s="129" t="s">
        <v>667</v>
      </c>
      <c r="F26" s="618">
        <v>15</v>
      </c>
    </row>
    <row r="27" spans="1:6" s="80" customFormat="1" ht="21" x14ac:dyDescent="0.4">
      <c r="A27" s="999"/>
      <c r="B27" s="141"/>
      <c r="C27" s="102"/>
      <c r="D27" s="823" t="s">
        <v>878</v>
      </c>
      <c r="E27" s="129" t="s">
        <v>670</v>
      </c>
      <c r="F27" s="905">
        <v>22.5</v>
      </c>
    </row>
    <row r="28" spans="1:6" ht="21" x14ac:dyDescent="0.25">
      <c r="A28" s="871" t="s">
        <v>852</v>
      </c>
      <c r="B28" s="73"/>
      <c r="C28" s="612">
        <f>SUM(C29:C37)</f>
        <v>175</v>
      </c>
      <c r="D28" s="73"/>
      <c r="E28" s="875"/>
      <c r="F28" s="621">
        <f>SUM(F29:F38)</f>
        <v>209.75</v>
      </c>
    </row>
    <row r="29" spans="1:6" ht="21" x14ac:dyDescent="0.25">
      <c r="A29" s="457" t="s">
        <v>333</v>
      </c>
      <c r="B29" s="116" t="s">
        <v>667</v>
      </c>
      <c r="C29" s="87">
        <v>16</v>
      </c>
      <c r="D29" s="457" t="s">
        <v>877</v>
      </c>
      <c r="E29" s="116" t="s">
        <v>670</v>
      </c>
      <c r="F29" s="932">
        <v>22.5</v>
      </c>
    </row>
    <row r="30" spans="1:6" ht="21" x14ac:dyDescent="0.4">
      <c r="A30" s="823" t="s">
        <v>333</v>
      </c>
      <c r="B30" s="129" t="s">
        <v>670</v>
      </c>
      <c r="C30" s="87">
        <v>22.5</v>
      </c>
      <c r="D30" s="457" t="s">
        <v>876</v>
      </c>
      <c r="E30" s="129" t="s">
        <v>667</v>
      </c>
      <c r="F30" s="932">
        <v>10</v>
      </c>
    </row>
    <row r="31" spans="1:6" ht="21" x14ac:dyDescent="0.4">
      <c r="A31" s="823" t="s">
        <v>347</v>
      </c>
      <c r="B31" s="129" t="s">
        <v>667</v>
      </c>
      <c r="C31" s="87">
        <v>15</v>
      </c>
      <c r="D31" s="457" t="s">
        <v>876</v>
      </c>
      <c r="E31" s="129" t="s">
        <v>670</v>
      </c>
      <c r="F31" s="932">
        <v>16.5</v>
      </c>
    </row>
    <row r="32" spans="1:6" ht="21" x14ac:dyDescent="0.4">
      <c r="A32" s="823" t="s">
        <v>347</v>
      </c>
      <c r="B32" s="129" t="s">
        <v>670</v>
      </c>
      <c r="C32" s="87">
        <v>22.5</v>
      </c>
      <c r="D32" s="457" t="s">
        <v>875</v>
      </c>
      <c r="E32" s="129" t="s">
        <v>667</v>
      </c>
      <c r="F32" s="932">
        <v>10</v>
      </c>
    </row>
    <row r="33" spans="1:6" ht="21" x14ac:dyDescent="0.4">
      <c r="A33" s="823" t="s">
        <v>832</v>
      </c>
      <c r="B33" s="129" t="s">
        <v>670</v>
      </c>
      <c r="C33" s="87">
        <v>22.5</v>
      </c>
      <c r="D33" s="457" t="s">
        <v>875</v>
      </c>
      <c r="E33" s="129" t="s">
        <v>670</v>
      </c>
      <c r="F33" s="932">
        <v>16.5</v>
      </c>
    </row>
    <row r="34" spans="1:6" ht="21" x14ac:dyDescent="0.4">
      <c r="A34" s="823" t="s">
        <v>833</v>
      </c>
      <c r="B34" s="129" t="s">
        <v>670</v>
      </c>
      <c r="C34" s="87">
        <v>22.5</v>
      </c>
      <c r="D34" s="823" t="s">
        <v>873</v>
      </c>
      <c r="E34" s="129" t="s">
        <v>667</v>
      </c>
      <c r="F34" s="932">
        <v>16</v>
      </c>
    </row>
    <row r="35" spans="1:6" ht="21" x14ac:dyDescent="0.4">
      <c r="A35" s="823" t="s">
        <v>332</v>
      </c>
      <c r="B35" s="129" t="s">
        <v>667</v>
      </c>
      <c r="C35" s="87">
        <v>24</v>
      </c>
      <c r="D35" s="823" t="s">
        <v>873</v>
      </c>
      <c r="E35" s="129" t="s">
        <v>670</v>
      </c>
      <c r="F35" s="932">
        <v>22.5</v>
      </c>
    </row>
    <row r="36" spans="1:6" ht="21" x14ac:dyDescent="0.4">
      <c r="A36" s="823" t="s">
        <v>819</v>
      </c>
      <c r="B36" s="129" t="s">
        <v>670</v>
      </c>
      <c r="C36" s="87">
        <v>15</v>
      </c>
      <c r="D36" s="823" t="s">
        <v>872</v>
      </c>
      <c r="E36" s="129" t="s">
        <v>668</v>
      </c>
      <c r="F36" s="932">
        <v>56.25</v>
      </c>
    </row>
    <row r="37" spans="1:6" ht="21" x14ac:dyDescent="0.4">
      <c r="A37" s="823" t="s">
        <v>335</v>
      </c>
      <c r="B37" s="129" t="s">
        <v>670</v>
      </c>
      <c r="C37" s="87">
        <v>15</v>
      </c>
      <c r="D37" s="823" t="s">
        <v>878</v>
      </c>
      <c r="E37" s="129" t="s">
        <v>667</v>
      </c>
      <c r="F37" s="932">
        <v>17</v>
      </c>
    </row>
    <row r="38" spans="1:6" ht="21" x14ac:dyDescent="0.4">
      <c r="A38" s="823"/>
      <c r="B38" s="129"/>
      <c r="C38" s="87"/>
      <c r="D38" s="823" t="s">
        <v>878</v>
      </c>
      <c r="E38" s="129" t="s">
        <v>670</v>
      </c>
      <c r="F38" s="932">
        <v>22.5</v>
      </c>
    </row>
    <row r="39" spans="1:6" ht="21" x14ac:dyDescent="0.25">
      <c r="A39" s="871" t="s">
        <v>853</v>
      </c>
      <c r="B39" s="73"/>
      <c r="C39" s="611">
        <f>SUM(C40:C42)</f>
        <v>25</v>
      </c>
      <c r="D39" s="73"/>
      <c r="E39" s="875"/>
      <c r="F39" s="944">
        <f>SUM(F40)</f>
        <v>21</v>
      </c>
    </row>
    <row r="40" spans="1:6" ht="21" x14ac:dyDescent="0.25">
      <c r="A40" s="931" t="s">
        <v>821</v>
      </c>
      <c r="B40" s="116" t="s">
        <v>667</v>
      </c>
      <c r="C40" s="87">
        <v>6</v>
      </c>
      <c r="D40" s="457" t="s">
        <v>837</v>
      </c>
      <c r="E40" s="116" t="s">
        <v>667</v>
      </c>
      <c r="F40" s="945">
        <v>21</v>
      </c>
    </row>
    <row r="41" spans="1:6" ht="21" x14ac:dyDescent="0.4">
      <c r="A41" s="823" t="s">
        <v>346</v>
      </c>
      <c r="B41" s="129" t="s">
        <v>667</v>
      </c>
      <c r="C41" s="87">
        <v>4</v>
      </c>
      <c r="D41" s="73"/>
      <c r="E41" s="875"/>
      <c r="F41" s="930"/>
    </row>
    <row r="42" spans="1:6" ht="21" x14ac:dyDescent="0.4">
      <c r="A42" s="823" t="s">
        <v>335</v>
      </c>
      <c r="B42" s="129" t="s">
        <v>670</v>
      </c>
      <c r="C42" s="610">
        <v>15</v>
      </c>
      <c r="D42" s="73"/>
      <c r="E42" s="875"/>
      <c r="F42" s="930"/>
    </row>
    <row r="43" spans="1:6" ht="21" x14ac:dyDescent="0.25">
      <c r="A43" s="286" t="s">
        <v>353</v>
      </c>
      <c r="B43" s="81"/>
      <c r="C43" s="286">
        <f>C44+C47+C48</f>
        <v>81</v>
      </c>
      <c r="D43" s="73"/>
      <c r="E43" s="875"/>
      <c r="F43" s="621">
        <f>SUM(F44:F50)</f>
        <v>102.25</v>
      </c>
    </row>
    <row r="44" spans="1:6" ht="21" x14ac:dyDescent="0.4">
      <c r="A44" s="457" t="s">
        <v>331</v>
      </c>
      <c r="B44" s="116" t="s">
        <v>667</v>
      </c>
      <c r="C44" s="87">
        <f>3*15</f>
        <v>45</v>
      </c>
      <c r="D44" s="457" t="s">
        <v>877</v>
      </c>
      <c r="E44" s="129" t="s">
        <v>670</v>
      </c>
      <c r="F44" s="618">
        <v>22.5</v>
      </c>
    </row>
    <row r="45" spans="1:6" ht="21" x14ac:dyDescent="0.4">
      <c r="A45" s="457" t="s">
        <v>354</v>
      </c>
      <c r="B45" s="116" t="s">
        <v>667</v>
      </c>
      <c r="C45" s="87">
        <f>2*4</f>
        <v>8</v>
      </c>
      <c r="D45" s="457" t="s">
        <v>876</v>
      </c>
      <c r="E45" s="129" t="s">
        <v>667</v>
      </c>
      <c r="F45" s="618">
        <v>8</v>
      </c>
    </row>
    <row r="46" spans="1:6" ht="21" x14ac:dyDescent="0.4">
      <c r="A46" s="823" t="s">
        <v>333</v>
      </c>
      <c r="B46" s="129" t="s">
        <v>670</v>
      </c>
      <c r="C46" s="87"/>
      <c r="D46" s="457" t="s">
        <v>876</v>
      </c>
      <c r="E46" s="129" t="s">
        <v>670</v>
      </c>
      <c r="F46" s="618">
        <v>6</v>
      </c>
    </row>
    <row r="47" spans="1:6" ht="21" x14ac:dyDescent="0.4">
      <c r="A47" s="823" t="s">
        <v>819</v>
      </c>
      <c r="B47" s="129" t="s">
        <v>670</v>
      </c>
      <c r="C47" s="87">
        <f>3*7</f>
        <v>21</v>
      </c>
      <c r="D47" s="457" t="s">
        <v>875</v>
      </c>
      <c r="E47" s="129" t="s">
        <v>667</v>
      </c>
      <c r="F47" s="618">
        <v>8</v>
      </c>
    </row>
    <row r="48" spans="1:6" ht="21" x14ac:dyDescent="0.4">
      <c r="A48" s="823" t="s">
        <v>335</v>
      </c>
      <c r="B48" s="129" t="s">
        <v>670</v>
      </c>
      <c r="C48" s="87">
        <f>1*15</f>
        <v>15</v>
      </c>
      <c r="D48" s="457" t="s">
        <v>874</v>
      </c>
      <c r="E48" s="129" t="s">
        <v>670</v>
      </c>
      <c r="F48" s="618">
        <v>6</v>
      </c>
    </row>
    <row r="49" spans="1:6" ht="21" x14ac:dyDescent="0.4">
      <c r="A49" s="823"/>
      <c r="B49" s="129"/>
      <c r="C49" s="87"/>
      <c r="D49" s="823" t="s">
        <v>873</v>
      </c>
      <c r="E49" s="129" t="s">
        <v>670</v>
      </c>
      <c r="F49" s="618">
        <v>18</v>
      </c>
    </row>
    <row r="50" spans="1:6" ht="21" x14ac:dyDescent="0.4">
      <c r="A50" s="823"/>
      <c r="B50" s="129"/>
      <c r="C50" s="87"/>
      <c r="D50" s="823" t="s">
        <v>872</v>
      </c>
      <c r="E50" s="129" t="s">
        <v>668</v>
      </c>
      <c r="F50" s="618">
        <v>33.75</v>
      </c>
    </row>
    <row r="51" spans="1:6" ht="18" x14ac:dyDescent="0.25">
      <c r="A51" s="266" t="s">
        <v>320</v>
      </c>
      <c r="B51" s="92"/>
      <c r="C51" s="829">
        <f>C2+C9+C13+C17+C28+C39+C43</f>
        <v>622</v>
      </c>
      <c r="D51" s="74"/>
      <c r="E51" s="346"/>
      <c r="F51" s="105">
        <f>F2+F9+F13+F17+F28+F39+F43</f>
        <v>773.875</v>
      </c>
    </row>
    <row r="52" spans="1:6" ht="18" x14ac:dyDescent="0.25">
      <c r="A52" s="266" t="s">
        <v>321</v>
      </c>
      <c r="B52" s="74"/>
      <c r="C52" s="523">
        <f>C51/(15*35)</f>
        <v>1.1847619047619047</v>
      </c>
      <c r="D52" s="74"/>
      <c r="E52" s="346"/>
      <c r="F52" s="523">
        <f>F51/(15*35)</f>
        <v>1.4740476190476191</v>
      </c>
    </row>
    <row r="53" spans="1:6" ht="18" x14ac:dyDescent="0.25">
      <c r="A53" s="266" t="s">
        <v>322</v>
      </c>
      <c r="B53" s="74"/>
      <c r="C53" s="535">
        <f>(C52+F52)/2</f>
        <v>1.3294047619047618</v>
      </c>
      <c r="D53" s="74"/>
      <c r="E53" s="346"/>
      <c r="F53" s="337"/>
    </row>
  </sheetData>
  <pageMargins left="0.7" right="0.7" top="0.75" bottom="0.75" header="0.3" footer="0.3"/>
  <pageSetup paperSize="9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8"/>
  <sheetViews>
    <sheetView workbookViewId="0">
      <selection activeCell="D8" sqref="D8"/>
    </sheetView>
  </sheetViews>
  <sheetFormatPr defaultRowHeight="13.8" x14ac:dyDescent="0.25"/>
  <cols>
    <col min="1" max="1" width="25.5" style="72" customWidth="1"/>
    <col min="2" max="2" width="6.3984375" style="72" customWidth="1"/>
    <col min="3" max="3" width="10.3984375" style="72" customWidth="1"/>
    <col min="4" max="4" width="8.796875" style="72"/>
    <col min="5" max="5" width="7.19921875" style="99" customWidth="1"/>
    <col min="6" max="6" width="10.19921875" style="549" customWidth="1"/>
    <col min="7" max="16384" width="8.796875" style="72"/>
  </cols>
  <sheetData>
    <row r="1" spans="1:6" x14ac:dyDescent="0.25">
      <c r="A1" s="96"/>
      <c r="B1" s="93"/>
      <c r="C1" s="69" t="s">
        <v>512</v>
      </c>
      <c r="D1" s="70"/>
      <c r="E1" s="602"/>
      <c r="F1" s="381" t="s">
        <v>513</v>
      </c>
    </row>
    <row r="2" spans="1:6" ht="21" x14ac:dyDescent="0.25">
      <c r="A2" s="871" t="s">
        <v>330</v>
      </c>
      <c r="B2" s="61"/>
      <c r="C2" s="893">
        <f>SUM(C3:C4)</f>
        <v>45</v>
      </c>
      <c r="D2" s="96"/>
      <c r="E2" s="68"/>
      <c r="F2" s="972"/>
    </row>
    <row r="3" spans="1:6" ht="21" x14ac:dyDescent="0.25">
      <c r="A3" s="840" t="s">
        <v>334</v>
      </c>
      <c r="B3" s="116" t="s">
        <v>670</v>
      </c>
      <c r="C3" s="87">
        <f>3*8</f>
        <v>24</v>
      </c>
      <c r="D3" s="248"/>
      <c r="E3" s="976"/>
      <c r="F3" s="604"/>
    </row>
    <row r="4" spans="1:6" ht="21" x14ac:dyDescent="0.4">
      <c r="A4" s="841" t="s">
        <v>336</v>
      </c>
      <c r="B4" s="129" t="s">
        <v>670</v>
      </c>
      <c r="C4" s="87">
        <f>3*7</f>
        <v>21</v>
      </c>
      <c r="D4" s="973"/>
      <c r="E4" s="974"/>
      <c r="F4" s="975"/>
    </row>
    <row r="5" spans="1:6" ht="21" x14ac:dyDescent="0.25">
      <c r="A5" s="907" t="s">
        <v>337</v>
      </c>
      <c r="B5" s="73"/>
      <c r="C5" s="601">
        <f>SUM(C6:C9)</f>
        <v>55.5</v>
      </c>
      <c r="D5" s="551"/>
      <c r="E5" s="926"/>
      <c r="F5" s="910">
        <f>SUM(F6:F8)</f>
        <v>81.75</v>
      </c>
    </row>
    <row r="6" spans="1:6" ht="21" x14ac:dyDescent="0.4">
      <c r="A6" s="841" t="s">
        <v>823</v>
      </c>
      <c r="B6" s="129" t="s">
        <v>670</v>
      </c>
      <c r="C6" s="844">
        <v>9</v>
      </c>
      <c r="D6" s="823" t="s">
        <v>838</v>
      </c>
      <c r="E6" s="129" t="s">
        <v>670</v>
      </c>
      <c r="F6" s="905">
        <v>18</v>
      </c>
    </row>
    <row r="7" spans="1:6" s="99" customFormat="1" ht="21" x14ac:dyDescent="0.4">
      <c r="A7" s="841" t="s">
        <v>334</v>
      </c>
      <c r="B7" s="129" t="s">
        <v>670</v>
      </c>
      <c r="C7" s="844">
        <v>16.5</v>
      </c>
      <c r="D7" s="823" t="s">
        <v>871</v>
      </c>
      <c r="E7" s="129" t="s">
        <v>667</v>
      </c>
      <c r="F7" s="618">
        <v>45</v>
      </c>
    </row>
    <row r="8" spans="1:6" s="99" customFormat="1" ht="21" x14ac:dyDescent="0.4">
      <c r="A8" s="841" t="s">
        <v>820</v>
      </c>
      <c r="B8" s="129" t="s">
        <v>670</v>
      </c>
      <c r="C8" s="844">
        <v>15</v>
      </c>
      <c r="D8" s="823" t="s">
        <v>76</v>
      </c>
      <c r="E8" s="129" t="s">
        <v>668</v>
      </c>
      <c r="F8" s="849">
        <v>18.75</v>
      </c>
    </row>
    <row r="9" spans="1:6" s="99" customFormat="1" ht="21" x14ac:dyDescent="0.4">
      <c r="A9" s="841" t="s">
        <v>336</v>
      </c>
      <c r="B9" s="129" t="s">
        <v>670</v>
      </c>
      <c r="C9" s="726">
        <v>15</v>
      </c>
      <c r="D9" s="73"/>
      <c r="E9" s="929"/>
      <c r="F9" s="604"/>
    </row>
    <row r="10" spans="1:6" ht="21" x14ac:dyDescent="0.25">
      <c r="A10" s="687" t="s">
        <v>328</v>
      </c>
      <c r="B10" s="81"/>
      <c r="C10" s="623">
        <f>SUM(C11:C16)</f>
        <v>67</v>
      </c>
      <c r="D10" s="73"/>
      <c r="E10" s="929"/>
      <c r="F10" s="913">
        <f>SUM(F11:F12)</f>
        <v>67.5</v>
      </c>
    </row>
    <row r="11" spans="1:6" ht="21" x14ac:dyDescent="0.4">
      <c r="A11" s="892" t="s">
        <v>821</v>
      </c>
      <c r="B11" s="116" t="s">
        <v>667</v>
      </c>
      <c r="C11" s="87">
        <v>4.5</v>
      </c>
      <c r="D11" s="457" t="s">
        <v>31</v>
      </c>
      <c r="E11" s="129" t="s">
        <v>670</v>
      </c>
      <c r="F11" s="919">
        <v>22.5</v>
      </c>
    </row>
    <row r="12" spans="1:6" ht="21" x14ac:dyDescent="0.4">
      <c r="A12" s="840" t="s">
        <v>822</v>
      </c>
      <c r="B12" s="116" t="s">
        <v>667</v>
      </c>
      <c r="C12" s="87">
        <v>9</v>
      </c>
      <c r="D12" s="823" t="s">
        <v>76</v>
      </c>
      <c r="E12" s="129" t="s">
        <v>668</v>
      </c>
      <c r="F12" s="618">
        <v>45</v>
      </c>
    </row>
    <row r="13" spans="1:6" ht="21" x14ac:dyDescent="0.4">
      <c r="A13" s="841" t="s">
        <v>823</v>
      </c>
      <c r="B13" s="129" t="s">
        <v>670</v>
      </c>
      <c r="C13" s="87">
        <v>19.5</v>
      </c>
      <c r="D13" s="296"/>
      <c r="E13" s="969"/>
      <c r="F13" s="606"/>
    </row>
    <row r="14" spans="1:6" ht="21" x14ac:dyDescent="0.4">
      <c r="A14" s="841" t="s">
        <v>341</v>
      </c>
      <c r="B14" s="129" t="s">
        <v>667</v>
      </c>
      <c r="C14" s="87">
        <v>9</v>
      </c>
      <c r="D14" s="89"/>
      <c r="E14" s="971"/>
      <c r="F14" s="606"/>
    </row>
    <row r="15" spans="1:6" ht="21" x14ac:dyDescent="0.4">
      <c r="A15" s="841" t="s">
        <v>342</v>
      </c>
      <c r="B15" s="129" t="s">
        <v>667</v>
      </c>
      <c r="C15" s="87">
        <v>12</v>
      </c>
      <c r="D15" s="89"/>
      <c r="E15" s="971"/>
      <c r="F15" s="606"/>
    </row>
    <row r="16" spans="1:6" ht="21" x14ac:dyDescent="0.4">
      <c r="A16" s="841" t="s">
        <v>336</v>
      </c>
      <c r="B16" s="129" t="s">
        <v>670</v>
      </c>
      <c r="C16" s="87">
        <v>13</v>
      </c>
      <c r="D16" s="76"/>
      <c r="E16" s="970"/>
      <c r="F16" s="606"/>
    </row>
    <row r="17" spans="1:6" ht="21" x14ac:dyDescent="0.25">
      <c r="A17" s="687" t="s">
        <v>343</v>
      </c>
      <c r="B17" s="81"/>
      <c r="C17" s="372">
        <f>SUM(C18)</f>
        <v>15</v>
      </c>
      <c r="D17" s="73"/>
      <c r="E17" s="929"/>
      <c r="F17" s="891">
        <f>SUM(F18)</f>
        <v>28.13</v>
      </c>
    </row>
    <row r="18" spans="1:6" ht="21" x14ac:dyDescent="0.4">
      <c r="A18" s="841" t="s">
        <v>336</v>
      </c>
      <c r="B18" s="129" t="s">
        <v>670</v>
      </c>
      <c r="C18" s="87">
        <v>15</v>
      </c>
      <c r="D18" s="457" t="s">
        <v>840</v>
      </c>
      <c r="E18" s="520" t="s">
        <v>668</v>
      </c>
      <c r="F18" s="921">
        <v>28.13</v>
      </c>
    </row>
    <row r="19" spans="1:6" ht="21" x14ac:dyDescent="0.25">
      <c r="A19" s="907" t="s">
        <v>348</v>
      </c>
      <c r="B19" s="73"/>
      <c r="C19" s="621">
        <f>SUM(C20:C22)</f>
        <v>61.5</v>
      </c>
      <c r="D19" s="87"/>
      <c r="E19" s="87"/>
      <c r="F19" s="607">
        <f>SUM(F20:F23)</f>
        <v>85</v>
      </c>
    </row>
    <row r="20" spans="1:6" ht="21" x14ac:dyDescent="0.4">
      <c r="A20" s="840" t="s">
        <v>334</v>
      </c>
      <c r="B20" s="116" t="s">
        <v>667</v>
      </c>
      <c r="C20" s="81">
        <v>24</v>
      </c>
      <c r="D20" s="823" t="s">
        <v>870</v>
      </c>
      <c r="E20" s="824" t="s">
        <v>667</v>
      </c>
      <c r="F20" s="98">
        <v>16</v>
      </c>
    </row>
    <row r="21" spans="1:6" ht="21" x14ac:dyDescent="0.4">
      <c r="A21" s="841" t="s">
        <v>334</v>
      </c>
      <c r="B21" s="129" t="s">
        <v>670</v>
      </c>
      <c r="C21" s="81">
        <v>22.5</v>
      </c>
      <c r="D21" s="457" t="s">
        <v>869</v>
      </c>
      <c r="E21" s="129" t="s">
        <v>670</v>
      </c>
      <c r="F21" s="87">
        <v>12</v>
      </c>
    </row>
    <row r="22" spans="1:6" ht="21" x14ac:dyDescent="0.4">
      <c r="A22" s="841" t="s">
        <v>336</v>
      </c>
      <c r="B22" s="129" t="s">
        <v>670</v>
      </c>
      <c r="C22" s="81">
        <v>15</v>
      </c>
      <c r="D22" s="457" t="s">
        <v>868</v>
      </c>
      <c r="E22" s="129" t="s">
        <v>670</v>
      </c>
      <c r="F22" s="87">
        <v>12</v>
      </c>
    </row>
    <row r="23" spans="1:6" ht="21" x14ac:dyDescent="0.4">
      <c r="A23" s="869"/>
      <c r="B23" s="129"/>
      <c r="C23" s="81"/>
      <c r="D23" s="823" t="s">
        <v>867</v>
      </c>
      <c r="E23" s="129" t="s">
        <v>667</v>
      </c>
      <c r="F23" s="95">
        <v>45</v>
      </c>
    </row>
    <row r="24" spans="1:6" s="80" customFormat="1" ht="21" x14ac:dyDescent="0.25">
      <c r="A24" s="687" t="s">
        <v>835</v>
      </c>
      <c r="B24" s="81"/>
      <c r="C24" s="286">
        <f>SUM(C25:C29)</f>
        <v>135</v>
      </c>
      <c r="D24" s="933"/>
      <c r="E24" s="933"/>
      <c r="F24" s="891">
        <f>SUM(F25:F27)</f>
        <v>78.75</v>
      </c>
    </row>
    <row r="25" spans="1:6" s="80" customFormat="1" ht="21" x14ac:dyDescent="0.4">
      <c r="A25" s="840" t="s">
        <v>341</v>
      </c>
      <c r="B25" s="116" t="s">
        <v>667</v>
      </c>
      <c r="C25" s="81">
        <v>36</v>
      </c>
      <c r="D25" s="823" t="s">
        <v>76</v>
      </c>
      <c r="E25" s="129" t="s">
        <v>668</v>
      </c>
      <c r="F25" s="911">
        <v>11.25</v>
      </c>
    </row>
    <row r="26" spans="1:6" s="80" customFormat="1" ht="21" x14ac:dyDescent="0.4">
      <c r="A26" s="840" t="s">
        <v>342</v>
      </c>
      <c r="B26" s="116" t="s">
        <v>667</v>
      </c>
      <c r="C26" s="81">
        <v>39</v>
      </c>
      <c r="D26" s="823" t="s">
        <v>31</v>
      </c>
      <c r="E26" s="129" t="s">
        <v>670</v>
      </c>
      <c r="F26" s="900">
        <v>22.5</v>
      </c>
    </row>
    <row r="27" spans="1:6" s="80" customFormat="1" ht="21" x14ac:dyDescent="0.4">
      <c r="A27" s="841" t="s">
        <v>823</v>
      </c>
      <c r="B27" s="129" t="s">
        <v>670</v>
      </c>
      <c r="C27" s="81">
        <v>22.5</v>
      </c>
      <c r="D27" s="823" t="s">
        <v>866</v>
      </c>
      <c r="E27" s="129" t="s">
        <v>667</v>
      </c>
      <c r="F27" s="618">
        <v>45</v>
      </c>
    </row>
    <row r="28" spans="1:6" ht="21" x14ac:dyDescent="0.4">
      <c r="A28" s="841" t="s">
        <v>334</v>
      </c>
      <c r="B28" s="129" t="s">
        <v>670</v>
      </c>
      <c r="C28" s="87">
        <v>22.5</v>
      </c>
      <c r="D28" s="68"/>
      <c r="E28" s="68"/>
      <c r="F28" s="68"/>
    </row>
    <row r="29" spans="1:6" ht="21" x14ac:dyDescent="0.4">
      <c r="A29" s="841" t="s">
        <v>336</v>
      </c>
      <c r="B29" s="129" t="s">
        <v>670</v>
      </c>
      <c r="C29" s="87">
        <v>15</v>
      </c>
      <c r="D29" s="85"/>
      <c r="E29" s="85"/>
      <c r="F29" s="85"/>
    </row>
    <row r="30" spans="1:6" ht="21" x14ac:dyDescent="0.25">
      <c r="A30" s="687" t="s">
        <v>33</v>
      </c>
      <c r="B30" s="87"/>
      <c r="C30" s="611">
        <f>SUM(C31:C31)</f>
        <v>30</v>
      </c>
      <c r="D30" s="73"/>
      <c r="E30" s="87"/>
      <c r="F30" s="893">
        <f>SUM(F31:F32)</f>
        <v>36</v>
      </c>
    </row>
    <row r="31" spans="1:6" ht="21" x14ac:dyDescent="0.4">
      <c r="A31" s="126" t="s">
        <v>31</v>
      </c>
      <c r="B31" s="129" t="s">
        <v>670</v>
      </c>
      <c r="C31" s="946">
        <v>30</v>
      </c>
      <c r="D31" s="126" t="s">
        <v>32</v>
      </c>
      <c r="E31" s="129" t="s">
        <v>670</v>
      </c>
      <c r="F31" s="985">
        <v>6</v>
      </c>
    </row>
    <row r="32" spans="1:6" ht="21" x14ac:dyDescent="0.4">
      <c r="A32" s="127"/>
      <c r="B32" s="129"/>
      <c r="C32" s="946"/>
      <c r="D32" s="126" t="s">
        <v>339</v>
      </c>
      <c r="E32" s="129" t="s">
        <v>670</v>
      </c>
      <c r="F32" s="985">
        <v>30</v>
      </c>
    </row>
    <row r="33" spans="1:6" ht="21" x14ac:dyDescent="0.4">
      <c r="A33" s="871" t="s">
        <v>75</v>
      </c>
      <c r="B33" s="87"/>
      <c r="C33" s="105">
        <f>SUM(C34)</f>
        <v>22.5</v>
      </c>
      <c r="D33" s="126"/>
      <c r="E33" s="129"/>
      <c r="F33" s="894"/>
    </row>
    <row r="34" spans="1:6" ht="21" x14ac:dyDescent="0.4">
      <c r="A34" s="126" t="s">
        <v>76</v>
      </c>
      <c r="B34" s="129" t="s">
        <v>2</v>
      </c>
      <c r="C34" s="984">
        <v>22.5</v>
      </c>
      <c r="D34" s="126"/>
      <c r="E34" s="129"/>
      <c r="F34" s="894"/>
    </row>
    <row r="35" spans="1:6" ht="21" x14ac:dyDescent="0.4">
      <c r="A35" s="266" t="s">
        <v>320</v>
      </c>
      <c r="B35" s="129"/>
      <c r="C35" s="105">
        <f>C2+C5+C10+C17+C19+C24+C30+C33</f>
        <v>431.5</v>
      </c>
      <c r="D35" s="87"/>
      <c r="E35" s="684"/>
      <c r="F35" s="842">
        <f>F2+F5+F10+F17+F19+F24+F30+F33</f>
        <v>377.13</v>
      </c>
    </row>
    <row r="36" spans="1:6" ht="18" x14ac:dyDescent="0.25">
      <c r="A36" s="266" t="s">
        <v>321</v>
      </c>
      <c r="B36" s="87"/>
      <c r="C36" s="522">
        <f>C35/(15*35)</f>
        <v>0.82190476190476192</v>
      </c>
      <c r="D36" s="87"/>
      <c r="E36" s="684"/>
      <c r="F36" s="523">
        <f>F35/(15*35)</f>
        <v>0.71834285714285717</v>
      </c>
    </row>
    <row r="37" spans="1:6" ht="18" x14ac:dyDescent="0.25">
      <c r="A37" s="266" t="s">
        <v>322</v>
      </c>
      <c r="B37" s="87"/>
      <c r="C37" s="522">
        <f>(C36+F36)/2</f>
        <v>0.77012380952380954</v>
      </c>
      <c r="D37" s="87"/>
      <c r="E37" s="684"/>
      <c r="F37" s="337"/>
    </row>
    <row r="38" spans="1:6" s="99" customFormat="1" x14ac:dyDescent="0.25">
      <c r="B38" s="97"/>
      <c r="F38" s="605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F47"/>
  <sheetViews>
    <sheetView workbookViewId="0">
      <selection activeCell="H6" sqref="H6"/>
    </sheetView>
  </sheetViews>
  <sheetFormatPr defaultRowHeight="13.8" x14ac:dyDescent="0.25"/>
  <cols>
    <col min="1" max="1" width="17.19921875" style="72" customWidth="1"/>
    <col min="2" max="2" width="7.09765625" style="72" customWidth="1"/>
    <col min="3" max="3" width="10.296875" style="72" customWidth="1"/>
    <col min="4" max="4" width="8.796875" style="72"/>
    <col min="5" max="5" width="8.796875" style="513"/>
    <col min="6" max="6" width="9.8984375" style="549" customWidth="1"/>
    <col min="7" max="16384" width="8.796875" style="72"/>
  </cols>
  <sheetData>
    <row r="1" spans="1:6" x14ac:dyDescent="0.25">
      <c r="A1" s="92"/>
      <c r="B1" s="98"/>
      <c r="C1" s="71" t="s">
        <v>512</v>
      </c>
      <c r="D1" s="70"/>
      <c r="F1" s="71" t="s">
        <v>513</v>
      </c>
    </row>
    <row r="2" spans="1:6" ht="21" x14ac:dyDescent="0.25">
      <c r="A2" s="871" t="s">
        <v>813</v>
      </c>
      <c r="B2" s="73"/>
      <c r="C2" s="611">
        <f>SUM(C3:C4)</f>
        <v>30</v>
      </c>
      <c r="D2" s="319"/>
      <c r="E2" s="937"/>
      <c r="F2" s="977"/>
    </row>
    <row r="3" spans="1:6" ht="21" x14ac:dyDescent="0.4">
      <c r="A3" s="841" t="s">
        <v>820</v>
      </c>
      <c r="B3" s="129" t="s">
        <v>670</v>
      </c>
      <c r="C3" s="87">
        <v>15</v>
      </c>
      <c r="D3" s="89"/>
      <c r="E3" s="302"/>
      <c r="F3" s="303"/>
    </row>
    <row r="4" spans="1:6" ht="21" x14ac:dyDescent="0.4">
      <c r="A4" s="841" t="s">
        <v>336</v>
      </c>
      <c r="B4" s="129" t="s">
        <v>670</v>
      </c>
      <c r="C4" s="87">
        <v>15</v>
      </c>
      <c r="D4" s="76"/>
      <c r="E4" s="955"/>
      <c r="F4" s="606"/>
    </row>
    <row r="5" spans="1:6" s="80" customFormat="1" ht="21" x14ac:dyDescent="0.25">
      <c r="A5" s="687" t="s">
        <v>350</v>
      </c>
      <c r="B5" s="81"/>
      <c r="C5" s="286">
        <f>SUM(C6:C12)</f>
        <v>168</v>
      </c>
      <c r="D5" s="83"/>
      <c r="E5" s="939"/>
      <c r="F5" s="891">
        <f>SUM(F6:F12)</f>
        <v>181.25</v>
      </c>
    </row>
    <row r="6" spans="1:6" s="80" customFormat="1" ht="21" x14ac:dyDescent="0.25">
      <c r="A6" s="840" t="s">
        <v>824</v>
      </c>
      <c r="B6" s="116" t="s">
        <v>667</v>
      </c>
      <c r="C6" s="286">
        <v>45</v>
      </c>
      <c r="D6" s="724" t="s">
        <v>838</v>
      </c>
      <c r="E6" s="116" t="s">
        <v>670</v>
      </c>
      <c r="F6" s="899">
        <v>22.5</v>
      </c>
    </row>
    <row r="7" spans="1:6" s="80" customFormat="1" ht="21" x14ac:dyDescent="0.25">
      <c r="A7" s="840" t="s">
        <v>822</v>
      </c>
      <c r="B7" s="116" t="s">
        <v>667</v>
      </c>
      <c r="C7" s="81">
        <v>18</v>
      </c>
      <c r="D7" s="724" t="s">
        <v>839</v>
      </c>
      <c r="E7" s="116" t="s">
        <v>667</v>
      </c>
      <c r="F7" s="947">
        <v>40</v>
      </c>
    </row>
    <row r="8" spans="1:6" s="80" customFormat="1" ht="21" x14ac:dyDescent="0.4">
      <c r="A8" s="841" t="s">
        <v>351</v>
      </c>
      <c r="B8" s="129" t="s">
        <v>667</v>
      </c>
      <c r="C8" s="81">
        <v>30</v>
      </c>
      <c r="D8" s="757" t="s">
        <v>840</v>
      </c>
      <c r="E8" s="520" t="s">
        <v>668</v>
      </c>
      <c r="F8" s="920">
        <v>33.75</v>
      </c>
    </row>
    <row r="9" spans="1:6" ht="21" x14ac:dyDescent="0.4">
      <c r="A9" s="841" t="s">
        <v>823</v>
      </c>
      <c r="B9" s="129" t="s">
        <v>670</v>
      </c>
      <c r="C9" s="81">
        <v>22.5</v>
      </c>
      <c r="D9" s="951" t="s">
        <v>841</v>
      </c>
      <c r="E9" s="129" t="s">
        <v>667</v>
      </c>
      <c r="F9" s="948">
        <v>17</v>
      </c>
    </row>
    <row r="10" spans="1:6" ht="21" x14ac:dyDescent="0.4">
      <c r="A10" s="841" t="s">
        <v>345</v>
      </c>
      <c r="B10" s="129" t="s">
        <v>670</v>
      </c>
      <c r="C10" s="87">
        <v>22.5</v>
      </c>
      <c r="D10" s="846" t="s">
        <v>842</v>
      </c>
      <c r="E10" s="129" t="s">
        <v>667</v>
      </c>
      <c r="F10" s="948">
        <v>17</v>
      </c>
    </row>
    <row r="11" spans="1:6" ht="21" x14ac:dyDescent="0.4">
      <c r="A11" s="841" t="s">
        <v>820</v>
      </c>
      <c r="B11" s="129" t="s">
        <v>670</v>
      </c>
      <c r="C11" s="87">
        <v>15</v>
      </c>
      <c r="D11" s="846" t="s">
        <v>843</v>
      </c>
      <c r="E11" s="129" t="s">
        <v>667</v>
      </c>
      <c r="F11" s="948">
        <v>21</v>
      </c>
    </row>
    <row r="12" spans="1:6" ht="21" x14ac:dyDescent="0.4">
      <c r="A12" s="841" t="s">
        <v>336</v>
      </c>
      <c r="B12" s="129" t="s">
        <v>670</v>
      </c>
      <c r="C12" s="87">
        <v>15</v>
      </c>
      <c r="D12" s="846" t="s">
        <v>844</v>
      </c>
      <c r="E12" s="129" t="s">
        <v>667</v>
      </c>
      <c r="F12" s="948">
        <v>30</v>
      </c>
    </row>
    <row r="13" spans="1:6" ht="21" x14ac:dyDescent="0.25">
      <c r="A13" s="892" t="s">
        <v>821</v>
      </c>
      <c r="B13" s="116" t="s">
        <v>667</v>
      </c>
      <c r="C13" s="87">
        <v>9</v>
      </c>
      <c r="D13" s="952"/>
      <c r="E13" s="953"/>
      <c r="F13" s="606"/>
    </row>
    <row r="14" spans="1:6" ht="21" customHeight="1" x14ac:dyDescent="0.25">
      <c r="A14" s="914" t="s">
        <v>349</v>
      </c>
      <c r="B14" s="941"/>
      <c r="C14" s="954">
        <f>SUM(C15:C22)</f>
        <v>150</v>
      </c>
      <c r="D14" s="941"/>
      <c r="E14" s="941"/>
      <c r="F14" s="603">
        <f>SUM(F15:F20)</f>
        <v>139.125</v>
      </c>
    </row>
    <row r="15" spans="1:6" ht="21" x14ac:dyDescent="0.4">
      <c r="A15" s="840" t="s">
        <v>830</v>
      </c>
      <c r="B15" s="116" t="s">
        <v>667</v>
      </c>
      <c r="C15" s="87">
        <v>45</v>
      </c>
      <c r="D15" s="823" t="s">
        <v>847</v>
      </c>
      <c r="E15" s="129" t="s">
        <v>667</v>
      </c>
      <c r="F15" s="949">
        <v>15</v>
      </c>
    </row>
    <row r="16" spans="1:6" s="117" customFormat="1" ht="21" x14ac:dyDescent="0.4">
      <c r="A16" s="840" t="s">
        <v>822</v>
      </c>
      <c r="B16" s="116" t="s">
        <v>667</v>
      </c>
      <c r="C16" s="501">
        <v>6</v>
      </c>
      <c r="D16" s="823" t="s">
        <v>848</v>
      </c>
      <c r="E16" s="129" t="s">
        <v>667</v>
      </c>
      <c r="F16" s="956">
        <v>6</v>
      </c>
    </row>
    <row r="17" spans="1:6" ht="21" x14ac:dyDescent="0.4">
      <c r="A17" s="841" t="s">
        <v>823</v>
      </c>
      <c r="B17" s="129" t="s">
        <v>670</v>
      </c>
      <c r="C17" s="87">
        <v>22.5</v>
      </c>
      <c r="D17" s="823" t="s">
        <v>849</v>
      </c>
      <c r="E17" s="129" t="s">
        <v>670</v>
      </c>
      <c r="F17" s="901">
        <v>22.5</v>
      </c>
    </row>
    <row r="18" spans="1:6" ht="21" x14ac:dyDescent="0.4">
      <c r="A18" s="841" t="s">
        <v>334</v>
      </c>
      <c r="B18" s="129" t="s">
        <v>667</v>
      </c>
      <c r="C18" s="87">
        <v>21</v>
      </c>
      <c r="D18" s="823" t="s">
        <v>840</v>
      </c>
      <c r="E18" s="129" t="s">
        <v>668</v>
      </c>
      <c r="F18" s="901">
        <v>73.125</v>
      </c>
    </row>
    <row r="19" spans="1:6" ht="21" x14ac:dyDescent="0.4">
      <c r="A19" s="841" t="s">
        <v>820</v>
      </c>
      <c r="B19" s="129" t="s">
        <v>670</v>
      </c>
      <c r="C19" s="87">
        <v>15</v>
      </c>
      <c r="D19" s="823" t="s">
        <v>850</v>
      </c>
      <c r="E19" s="129" t="s">
        <v>667</v>
      </c>
      <c r="F19" s="901">
        <v>21</v>
      </c>
    </row>
    <row r="20" spans="1:6" ht="21" x14ac:dyDescent="0.4">
      <c r="A20" s="841" t="s">
        <v>334</v>
      </c>
      <c r="B20" s="129" t="s">
        <v>670</v>
      </c>
      <c r="C20" s="87">
        <v>22.5</v>
      </c>
      <c r="D20" s="823" t="s">
        <v>850</v>
      </c>
      <c r="E20" s="129" t="s">
        <v>670</v>
      </c>
      <c r="F20" s="690">
        <v>1.5</v>
      </c>
    </row>
    <row r="21" spans="1:6" ht="21" x14ac:dyDescent="0.4">
      <c r="A21" s="841" t="s">
        <v>336</v>
      </c>
      <c r="B21" s="129" t="s">
        <v>670</v>
      </c>
      <c r="C21" s="87">
        <v>15</v>
      </c>
      <c r="D21" s="296"/>
      <c r="E21" s="937"/>
      <c r="F21" s="606"/>
    </row>
    <row r="22" spans="1:6" ht="21" x14ac:dyDescent="0.25">
      <c r="A22" s="888" t="s">
        <v>821</v>
      </c>
      <c r="B22" s="116" t="s">
        <v>667</v>
      </c>
      <c r="C22" s="81">
        <v>3</v>
      </c>
      <c r="D22" s="76"/>
      <c r="E22" s="955"/>
      <c r="F22" s="606"/>
    </row>
    <row r="23" spans="1:6" ht="21" x14ac:dyDescent="0.25">
      <c r="A23" s="687" t="s">
        <v>851</v>
      </c>
      <c r="B23" s="87"/>
      <c r="C23" s="286">
        <f>SUM(C24:C26)</f>
        <v>52.5</v>
      </c>
      <c r="D23" s="296"/>
      <c r="E23" s="937"/>
      <c r="F23" s="898"/>
    </row>
    <row r="24" spans="1:6" s="80" customFormat="1" ht="21" x14ac:dyDescent="0.4">
      <c r="A24" s="841" t="s">
        <v>334</v>
      </c>
      <c r="B24" s="129" t="s">
        <v>670</v>
      </c>
      <c r="C24" s="81">
        <v>22.5</v>
      </c>
      <c r="D24" s="986"/>
      <c r="E24" s="1002"/>
      <c r="F24" s="905"/>
    </row>
    <row r="25" spans="1:6" s="80" customFormat="1" ht="21" x14ac:dyDescent="0.4">
      <c r="A25" s="841" t="s">
        <v>820</v>
      </c>
      <c r="B25" s="129" t="s">
        <v>670</v>
      </c>
      <c r="C25" s="81">
        <v>15</v>
      </c>
      <c r="D25" s="986"/>
      <c r="E25" s="987"/>
      <c r="F25" s="887"/>
    </row>
    <row r="26" spans="1:6" s="80" customFormat="1" ht="21" x14ac:dyDescent="0.4">
      <c r="A26" s="841" t="s">
        <v>336</v>
      </c>
      <c r="B26" s="129" t="s">
        <v>670</v>
      </c>
      <c r="C26" s="81">
        <v>15</v>
      </c>
      <c r="D26" s="680"/>
      <c r="E26" s="141"/>
      <c r="F26" s="905"/>
    </row>
    <row r="27" spans="1:6" ht="21" x14ac:dyDescent="0.25">
      <c r="A27" s="907" t="s">
        <v>852</v>
      </c>
      <c r="B27" s="73"/>
      <c r="C27" s="612">
        <f>SUM(C28:C29)</f>
        <v>30</v>
      </c>
      <c r="D27" s="296"/>
      <c r="E27" s="937"/>
      <c r="F27" s="1001"/>
    </row>
    <row r="28" spans="1:6" ht="21" x14ac:dyDescent="0.4">
      <c r="A28" s="841" t="s">
        <v>820</v>
      </c>
      <c r="B28" s="129" t="s">
        <v>670</v>
      </c>
      <c r="C28" s="87">
        <v>15</v>
      </c>
      <c r="D28" s="89"/>
      <c r="E28" s="302"/>
      <c r="F28" s="609"/>
    </row>
    <row r="29" spans="1:6" ht="21" x14ac:dyDescent="0.4">
      <c r="A29" s="841" t="s">
        <v>336</v>
      </c>
      <c r="B29" s="129" t="s">
        <v>670</v>
      </c>
      <c r="C29" s="87">
        <v>15</v>
      </c>
      <c r="D29" s="76"/>
      <c r="E29" s="955"/>
      <c r="F29" s="988"/>
    </row>
    <row r="30" spans="1:6" ht="21" x14ac:dyDescent="0.25">
      <c r="A30" s="907" t="s">
        <v>853</v>
      </c>
      <c r="B30" s="73"/>
      <c r="C30" s="611">
        <f>SUM(C31:C39)</f>
        <v>138</v>
      </c>
      <c r="D30" s="73"/>
      <c r="E30" s="875"/>
      <c r="F30" s="922">
        <f>SUM(F31:F38)</f>
        <v>143.25</v>
      </c>
    </row>
    <row r="31" spans="1:6" ht="21" x14ac:dyDescent="0.4">
      <c r="A31" s="840" t="s">
        <v>822</v>
      </c>
      <c r="B31" s="129" t="s">
        <v>667</v>
      </c>
      <c r="C31" s="87">
        <v>12</v>
      </c>
      <c r="D31" s="457" t="s">
        <v>841</v>
      </c>
      <c r="E31" s="116" t="s">
        <v>667</v>
      </c>
      <c r="F31" s="917">
        <v>21</v>
      </c>
    </row>
    <row r="32" spans="1:6" ht="21" x14ac:dyDescent="0.4">
      <c r="A32" s="841" t="s">
        <v>345</v>
      </c>
      <c r="B32" s="129" t="s">
        <v>667</v>
      </c>
      <c r="C32" s="87">
        <v>30</v>
      </c>
      <c r="D32" s="457" t="s">
        <v>842</v>
      </c>
      <c r="E32" s="116" t="s">
        <v>667</v>
      </c>
      <c r="F32" s="957">
        <v>21</v>
      </c>
    </row>
    <row r="33" spans="1:6" ht="21" x14ac:dyDescent="0.4">
      <c r="A33" s="841" t="s">
        <v>345</v>
      </c>
      <c r="B33" s="129" t="s">
        <v>670</v>
      </c>
      <c r="C33" s="87">
        <v>22.5</v>
      </c>
      <c r="D33" s="457" t="s">
        <v>847</v>
      </c>
      <c r="E33" s="129" t="s">
        <v>667</v>
      </c>
      <c r="F33" s="958">
        <v>12</v>
      </c>
    </row>
    <row r="34" spans="1:6" ht="21" x14ac:dyDescent="0.4">
      <c r="A34" s="841" t="s">
        <v>334</v>
      </c>
      <c r="B34" s="129" t="s">
        <v>670</v>
      </c>
      <c r="C34" s="87">
        <v>22.5</v>
      </c>
      <c r="D34" s="457" t="s">
        <v>843</v>
      </c>
      <c r="E34" s="129" t="s">
        <v>667</v>
      </c>
      <c r="F34" s="957">
        <v>24</v>
      </c>
    </row>
    <row r="35" spans="1:6" ht="21" x14ac:dyDescent="0.4">
      <c r="A35" s="841" t="s">
        <v>823</v>
      </c>
      <c r="B35" s="129" t="s">
        <v>670</v>
      </c>
      <c r="C35" s="87">
        <v>22.5</v>
      </c>
      <c r="D35" s="457" t="s">
        <v>838</v>
      </c>
      <c r="E35" s="129" t="s">
        <v>670</v>
      </c>
      <c r="F35" s="957">
        <v>22.5</v>
      </c>
    </row>
    <row r="36" spans="1:6" ht="21" x14ac:dyDescent="0.4">
      <c r="A36" s="841" t="s">
        <v>352</v>
      </c>
      <c r="B36" s="129" t="s">
        <v>667</v>
      </c>
      <c r="C36" s="87">
        <v>3</v>
      </c>
      <c r="D36" s="457" t="s">
        <v>864</v>
      </c>
      <c r="E36" s="129" t="s">
        <v>670</v>
      </c>
      <c r="F36" s="958">
        <v>12</v>
      </c>
    </row>
    <row r="37" spans="1:6" ht="21" x14ac:dyDescent="0.4">
      <c r="A37" s="841" t="s">
        <v>352</v>
      </c>
      <c r="B37" s="129" t="s">
        <v>670</v>
      </c>
      <c r="C37" s="87">
        <v>4.5</v>
      </c>
      <c r="D37" s="457" t="s">
        <v>865</v>
      </c>
      <c r="E37" s="129" t="s">
        <v>670</v>
      </c>
      <c r="F37" s="958">
        <v>12</v>
      </c>
    </row>
    <row r="38" spans="1:6" ht="21" x14ac:dyDescent="0.4">
      <c r="A38" s="841" t="s">
        <v>336</v>
      </c>
      <c r="B38" s="129" t="s">
        <v>670</v>
      </c>
      <c r="C38" s="87">
        <v>15</v>
      </c>
      <c r="D38" s="823" t="s">
        <v>840</v>
      </c>
      <c r="E38" s="129" t="s">
        <v>668</v>
      </c>
      <c r="F38" s="958">
        <v>18.75</v>
      </c>
    </row>
    <row r="39" spans="1:6" ht="21" x14ac:dyDescent="0.25">
      <c r="A39" s="892" t="s">
        <v>821</v>
      </c>
      <c r="B39" s="116" t="s">
        <v>667</v>
      </c>
      <c r="C39" s="87">
        <v>6</v>
      </c>
      <c r="D39" s="952"/>
      <c r="E39" s="875"/>
      <c r="F39" s="606"/>
    </row>
    <row r="40" spans="1:6" ht="21" x14ac:dyDescent="0.25">
      <c r="A40" s="687" t="s">
        <v>353</v>
      </c>
      <c r="B40" s="81"/>
      <c r="C40" s="286">
        <f>SUM(C41:C44)</f>
        <v>42.5</v>
      </c>
      <c r="D40" s="296"/>
      <c r="E40" s="937"/>
      <c r="F40" s="1001"/>
    </row>
    <row r="41" spans="1:6" ht="21" x14ac:dyDescent="0.4">
      <c r="A41" s="841" t="s">
        <v>352</v>
      </c>
      <c r="B41" s="129" t="s">
        <v>667</v>
      </c>
      <c r="C41" s="87">
        <v>5</v>
      </c>
      <c r="D41" s="89"/>
      <c r="E41" s="302"/>
      <c r="F41" s="606"/>
    </row>
    <row r="42" spans="1:6" ht="21" x14ac:dyDescent="0.4">
      <c r="A42" s="841" t="s">
        <v>352</v>
      </c>
      <c r="B42" s="129" t="s">
        <v>670</v>
      </c>
      <c r="C42" s="87">
        <v>7.5</v>
      </c>
      <c r="D42" s="75"/>
      <c r="E42" s="376"/>
      <c r="F42" s="396"/>
    </row>
    <row r="43" spans="1:6" ht="21" x14ac:dyDescent="0.4">
      <c r="A43" s="841" t="s">
        <v>820</v>
      </c>
      <c r="B43" s="129" t="s">
        <v>670</v>
      </c>
      <c r="C43" s="87">
        <v>15</v>
      </c>
      <c r="D43" s="89"/>
      <c r="E43" s="302"/>
      <c r="F43" s="950"/>
    </row>
    <row r="44" spans="1:6" ht="21" x14ac:dyDescent="0.4">
      <c r="A44" s="841" t="s">
        <v>336</v>
      </c>
      <c r="B44" s="129" t="s">
        <v>670</v>
      </c>
      <c r="C44" s="87">
        <v>15</v>
      </c>
      <c r="D44" s="76"/>
      <c r="E44" s="955"/>
      <c r="F44" s="606"/>
    </row>
    <row r="45" spans="1:6" ht="18" x14ac:dyDescent="0.25">
      <c r="A45" s="266" t="s">
        <v>320</v>
      </c>
      <c r="B45" s="92"/>
      <c r="C45" s="829">
        <f>C2+C5+C14+C23+C27+C30+C40</f>
        <v>611</v>
      </c>
      <c r="D45" s="74"/>
      <c r="E45" s="346"/>
      <c r="F45" s="523">
        <f>F14+F23+AssoAssMnE_ตรี!F28+F5+F27+F30+F2+F40</f>
        <v>486.125</v>
      </c>
    </row>
    <row r="46" spans="1:6" ht="18" x14ac:dyDescent="0.25">
      <c r="A46" s="266" t="s">
        <v>321</v>
      </c>
      <c r="B46" s="74"/>
      <c r="C46" s="523">
        <f>C45/(15*35)</f>
        <v>1.1638095238095238</v>
      </c>
      <c r="D46" s="74"/>
      <c r="E46" s="346"/>
      <c r="F46" s="523">
        <f>F45/(15*35)</f>
        <v>0.92595238095238097</v>
      </c>
    </row>
    <row r="47" spans="1:6" ht="18" x14ac:dyDescent="0.25">
      <c r="A47" s="266" t="s">
        <v>322</v>
      </c>
      <c r="B47" s="74"/>
      <c r="C47" s="535">
        <f>(C46+F46)/2</f>
        <v>1.0448809523809524</v>
      </c>
      <c r="D47" s="74"/>
      <c r="E47" s="346"/>
      <c r="F47" s="33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35"/>
  <sheetViews>
    <sheetView topLeftCell="A19" workbookViewId="0">
      <selection activeCell="I27" sqref="I27"/>
    </sheetView>
  </sheetViews>
  <sheetFormatPr defaultRowHeight="13.8" x14ac:dyDescent="0.25"/>
  <cols>
    <col min="1" max="1" width="24" style="72" bestFit="1" customWidth="1"/>
    <col min="2" max="2" width="8.8984375" style="70" customWidth="1"/>
    <col min="3" max="3" width="12.796875" style="549" customWidth="1"/>
    <col min="4" max="4" width="15" style="513" customWidth="1"/>
    <col min="5" max="5" width="8.8984375" style="70" customWidth="1"/>
    <col min="6" max="6" width="12.796875" style="549" customWidth="1"/>
    <col min="7" max="16384" width="8.796875" style="72"/>
  </cols>
  <sheetData>
    <row r="1" spans="1:6" x14ac:dyDescent="0.25">
      <c r="A1" s="87"/>
      <c r="B1" s="69"/>
      <c r="C1" s="69" t="s">
        <v>512</v>
      </c>
      <c r="D1" s="684"/>
      <c r="E1" s="393"/>
      <c r="F1" s="69" t="s">
        <v>513</v>
      </c>
    </row>
    <row r="2" spans="1:6" ht="21" x14ac:dyDescent="0.55000000000000004">
      <c r="A2" s="871" t="s">
        <v>423</v>
      </c>
      <c r="B2" s="1026"/>
      <c r="C2" s="1036">
        <f>SUM(C3:C5)</f>
        <v>62</v>
      </c>
      <c r="D2" s="1027"/>
      <c r="E2" s="1028"/>
      <c r="F2" s="1036">
        <f>SUM(F3:F5)</f>
        <v>53</v>
      </c>
    </row>
    <row r="3" spans="1:6" ht="21" x14ac:dyDescent="0.4">
      <c r="A3" s="845" t="s">
        <v>803</v>
      </c>
      <c r="B3" s="824" t="s">
        <v>667</v>
      </c>
      <c r="C3" s="690">
        <v>9</v>
      </c>
      <c r="D3" s="684" t="s">
        <v>497</v>
      </c>
      <c r="E3" s="69" t="s">
        <v>3</v>
      </c>
      <c r="F3" s="347">
        <f>3*15</f>
        <v>45</v>
      </c>
    </row>
    <row r="4" spans="1:6" ht="21" x14ac:dyDescent="0.4">
      <c r="A4" s="845" t="s">
        <v>805</v>
      </c>
      <c r="B4" s="824" t="s">
        <v>667</v>
      </c>
      <c r="C4" s="690">
        <v>45</v>
      </c>
      <c r="D4" s="81" t="s">
        <v>498</v>
      </c>
      <c r="E4" s="82" t="s">
        <v>236</v>
      </c>
      <c r="F4" s="727">
        <v>8</v>
      </c>
    </row>
    <row r="5" spans="1:6" s="80" customFormat="1" ht="21.6" thickBot="1" x14ac:dyDescent="0.45">
      <c r="A5" s="1066" t="s">
        <v>498</v>
      </c>
      <c r="B5" s="122" t="s">
        <v>786</v>
      </c>
      <c r="C5" s="1137">
        <v>8</v>
      </c>
      <c r="D5" s="312"/>
      <c r="E5" s="810"/>
      <c r="F5" s="1033"/>
    </row>
    <row r="6" spans="1:6" ht="21" x14ac:dyDescent="0.25">
      <c r="A6" s="1068" t="s">
        <v>429</v>
      </c>
      <c r="B6" s="1119"/>
      <c r="C6" s="1120">
        <f>SUM(C7:C9)</f>
        <v>58</v>
      </c>
      <c r="D6" s="1121"/>
      <c r="E6" s="1119"/>
      <c r="F6" s="1106">
        <f>SUM(F7:F9)</f>
        <v>4</v>
      </c>
    </row>
    <row r="7" spans="1:6" ht="21" x14ac:dyDescent="0.4">
      <c r="A7" s="845" t="s">
        <v>802</v>
      </c>
      <c r="B7" s="824" t="s">
        <v>667</v>
      </c>
      <c r="C7" s="727">
        <v>45</v>
      </c>
      <c r="D7" s="81" t="s">
        <v>498</v>
      </c>
      <c r="E7" s="82" t="s">
        <v>236</v>
      </c>
      <c r="F7" s="957">
        <v>4</v>
      </c>
    </row>
    <row r="8" spans="1:6" ht="21" x14ac:dyDescent="0.4">
      <c r="A8" s="845" t="s">
        <v>803</v>
      </c>
      <c r="B8" s="824" t="s">
        <v>667</v>
      </c>
      <c r="C8" s="727">
        <v>9</v>
      </c>
      <c r="D8" s="81"/>
      <c r="E8" s="82"/>
      <c r="F8" s="957"/>
    </row>
    <row r="9" spans="1:6" s="80" customFormat="1" ht="21.6" thickBot="1" x14ac:dyDescent="0.45">
      <c r="A9" s="1056" t="s">
        <v>804</v>
      </c>
      <c r="B9" s="1057" t="s">
        <v>786</v>
      </c>
      <c r="C9" s="1122">
        <v>4</v>
      </c>
      <c r="D9" s="1142"/>
      <c r="E9" s="1143"/>
      <c r="F9" s="1144"/>
    </row>
    <row r="10" spans="1:6" ht="20.399999999999999" x14ac:dyDescent="0.25">
      <c r="A10" s="1060" t="s">
        <v>371</v>
      </c>
      <c r="B10" s="819"/>
      <c r="C10" s="1061">
        <f>SUM(C11:C11)</f>
        <v>9</v>
      </c>
      <c r="D10" s="816"/>
      <c r="E10" s="819"/>
      <c r="F10" s="1141"/>
    </row>
    <row r="11" spans="1:6" ht="14.4" thickBot="1" x14ac:dyDescent="0.3">
      <c r="A11" s="96" t="s">
        <v>803</v>
      </c>
      <c r="B11" s="71" t="s">
        <v>667</v>
      </c>
      <c r="C11" s="344">
        <f>3*3</f>
        <v>9</v>
      </c>
      <c r="D11" s="253"/>
      <c r="E11" s="71"/>
      <c r="F11" s="344"/>
    </row>
    <row r="12" spans="1:6" ht="20.399999999999999" x14ac:dyDescent="0.25">
      <c r="A12" s="1092" t="s">
        <v>445</v>
      </c>
      <c r="B12" s="1093"/>
      <c r="C12" s="1120">
        <f>SUM(C13:C13)</f>
        <v>9</v>
      </c>
      <c r="D12" s="1121"/>
      <c r="E12" s="1093"/>
      <c r="F12" s="1145"/>
    </row>
    <row r="13" spans="1:6" x14ac:dyDescent="0.25">
      <c r="A13" s="96" t="s">
        <v>803</v>
      </c>
      <c r="B13" s="69" t="s">
        <v>667</v>
      </c>
      <c r="C13" s="347">
        <f>3*3</f>
        <v>9</v>
      </c>
      <c r="D13" s="684"/>
      <c r="E13" s="69"/>
      <c r="F13" s="347"/>
    </row>
    <row r="14" spans="1:6" ht="21" x14ac:dyDescent="0.25">
      <c r="A14" s="1016" t="s">
        <v>439</v>
      </c>
      <c r="B14" s="84"/>
      <c r="C14" s="612">
        <f>SUM(C15:C17)</f>
        <v>55</v>
      </c>
      <c r="D14" s="391"/>
      <c r="E14" s="84"/>
      <c r="F14" s="372">
        <f>SUM(F15)</f>
        <v>4</v>
      </c>
    </row>
    <row r="15" spans="1:6" s="80" customFormat="1" ht="21" x14ac:dyDescent="0.4">
      <c r="A15" s="845" t="s">
        <v>499</v>
      </c>
      <c r="B15" s="824" t="s">
        <v>667</v>
      </c>
      <c r="C15" s="726">
        <v>45</v>
      </c>
      <c r="D15" s="960" t="s">
        <v>498</v>
      </c>
      <c r="E15" s="82" t="s">
        <v>236</v>
      </c>
      <c r="F15" s="727">
        <v>4</v>
      </c>
    </row>
    <row r="16" spans="1:6" s="80" customFormat="1" ht="21" x14ac:dyDescent="0.4">
      <c r="A16" s="845" t="s">
        <v>803</v>
      </c>
      <c r="B16" s="824" t="s">
        <v>667</v>
      </c>
      <c r="C16" s="726">
        <v>9</v>
      </c>
      <c r="D16" s="960"/>
      <c r="E16" s="82"/>
      <c r="F16" s="727"/>
    </row>
    <row r="17" spans="1:6" s="80" customFormat="1" ht="21.6" thickBot="1" x14ac:dyDescent="0.45">
      <c r="A17" s="1056" t="s">
        <v>498</v>
      </c>
      <c r="B17" s="1057" t="s">
        <v>786</v>
      </c>
      <c r="C17" s="1146">
        <v>1</v>
      </c>
      <c r="D17" s="1147"/>
      <c r="E17" s="1143"/>
      <c r="F17" s="1122"/>
    </row>
    <row r="18" spans="1:6" x14ac:dyDescent="0.25">
      <c r="A18" s="1060" t="s">
        <v>393</v>
      </c>
      <c r="B18" s="819"/>
      <c r="C18" s="876">
        <f>SUM(C19:C21)</f>
        <v>61</v>
      </c>
      <c r="D18" s="1067"/>
      <c r="E18" s="819"/>
      <c r="F18" s="876">
        <f>SUM(F19:F20)</f>
        <v>15</v>
      </c>
    </row>
    <row r="19" spans="1:6" ht="21" x14ac:dyDescent="0.4">
      <c r="A19" s="845" t="s">
        <v>808</v>
      </c>
      <c r="B19" s="824" t="s">
        <v>667</v>
      </c>
      <c r="C19" s="727">
        <v>45</v>
      </c>
      <c r="D19" s="392" t="s">
        <v>788</v>
      </c>
      <c r="E19" s="82" t="s">
        <v>3</v>
      </c>
      <c r="F19" s="957">
        <v>9</v>
      </c>
    </row>
    <row r="20" spans="1:6" ht="21" x14ac:dyDescent="0.4">
      <c r="A20" s="845" t="s">
        <v>803</v>
      </c>
      <c r="B20" s="824" t="s">
        <v>667</v>
      </c>
      <c r="C20" s="727">
        <v>9</v>
      </c>
      <c r="D20" s="1029" t="s">
        <v>498</v>
      </c>
      <c r="E20" s="129" t="s">
        <v>786</v>
      </c>
      <c r="F20" s="727">
        <v>6</v>
      </c>
    </row>
    <row r="21" spans="1:6" ht="21.6" thickBot="1" x14ac:dyDescent="0.45">
      <c r="A21" s="1066" t="s">
        <v>498</v>
      </c>
      <c r="B21" s="122" t="s">
        <v>786</v>
      </c>
      <c r="C21" s="1033">
        <v>7</v>
      </c>
      <c r="D21" s="1138"/>
      <c r="E21" s="810"/>
      <c r="F21" s="1139"/>
    </row>
    <row r="22" spans="1:6" x14ac:dyDescent="0.25">
      <c r="A22" s="1092" t="s">
        <v>447</v>
      </c>
      <c r="B22" s="1093"/>
      <c r="C22" s="1106">
        <f>SUM(C23:C25)</f>
        <v>62</v>
      </c>
      <c r="D22" s="1094"/>
      <c r="E22" s="1093"/>
      <c r="F22" s="1106">
        <f>SUM(F23:F24)</f>
        <v>48</v>
      </c>
    </row>
    <row r="23" spans="1:6" ht="21" x14ac:dyDescent="0.4">
      <c r="A23" s="845" t="s">
        <v>500</v>
      </c>
      <c r="B23" s="824" t="s">
        <v>667</v>
      </c>
      <c r="C23" s="957">
        <v>45</v>
      </c>
      <c r="D23" s="392" t="s">
        <v>501</v>
      </c>
      <c r="E23" s="82" t="s">
        <v>3</v>
      </c>
      <c r="F23" s="957">
        <f>3*15</f>
        <v>45</v>
      </c>
    </row>
    <row r="24" spans="1:6" ht="21" x14ac:dyDescent="0.4">
      <c r="A24" s="845" t="s">
        <v>803</v>
      </c>
      <c r="B24" s="824" t="s">
        <v>667</v>
      </c>
      <c r="C24" s="727">
        <v>9</v>
      </c>
      <c r="D24" s="81" t="s">
        <v>498</v>
      </c>
      <c r="E24" s="82" t="s">
        <v>236</v>
      </c>
      <c r="F24" s="727">
        <v>3</v>
      </c>
    </row>
    <row r="25" spans="1:6" ht="21.6" thickBot="1" x14ac:dyDescent="0.45">
      <c r="A25" s="1056" t="s">
        <v>498</v>
      </c>
      <c r="B25" s="1057" t="s">
        <v>786</v>
      </c>
      <c r="C25" s="1122">
        <v>8</v>
      </c>
      <c r="D25" s="1074"/>
      <c r="E25" s="1143"/>
      <c r="F25" s="1122"/>
    </row>
    <row r="26" spans="1:6" x14ac:dyDescent="0.25">
      <c r="A26" s="1060" t="s">
        <v>448</v>
      </c>
      <c r="B26" s="819"/>
      <c r="C26" s="876">
        <f>SUM(C27)</f>
        <v>45</v>
      </c>
      <c r="D26" s="1067"/>
      <c r="E26" s="819"/>
      <c r="F26" s="876">
        <f>SUM(F27)</f>
        <v>45</v>
      </c>
    </row>
    <row r="27" spans="1:6" ht="21.6" thickBot="1" x14ac:dyDescent="0.3">
      <c r="A27" s="123" t="s">
        <v>502</v>
      </c>
      <c r="B27" s="71" t="s">
        <v>30</v>
      </c>
      <c r="C27" s="344">
        <f>3*15</f>
        <v>45</v>
      </c>
      <c r="D27" s="742" t="s">
        <v>780</v>
      </c>
      <c r="E27" s="1140" t="s">
        <v>667</v>
      </c>
      <c r="F27" s="344">
        <v>45</v>
      </c>
    </row>
    <row r="28" spans="1:6" x14ac:dyDescent="0.25">
      <c r="A28" s="1092" t="s">
        <v>455</v>
      </c>
      <c r="B28" s="1093"/>
      <c r="C28" s="1101">
        <f>SUM(C29:C30)</f>
        <v>54</v>
      </c>
      <c r="D28" s="1102"/>
      <c r="E28" s="1093"/>
      <c r="F28" s="1101"/>
    </row>
    <row r="29" spans="1:6" ht="21" x14ac:dyDescent="0.4">
      <c r="A29" s="845" t="s">
        <v>503</v>
      </c>
      <c r="B29" s="824" t="s">
        <v>667</v>
      </c>
      <c r="C29" s="347">
        <v>45</v>
      </c>
      <c r="D29" s="684"/>
      <c r="E29" s="69"/>
      <c r="F29" s="347"/>
    </row>
    <row r="30" spans="1:6" ht="21.6" thickBot="1" x14ac:dyDescent="0.45">
      <c r="A30" s="1056" t="s">
        <v>803</v>
      </c>
      <c r="B30" s="1097" t="s">
        <v>667</v>
      </c>
      <c r="C30" s="1058">
        <v>9</v>
      </c>
      <c r="D30" s="1112"/>
      <c r="E30" s="1113"/>
      <c r="F30" s="1058"/>
    </row>
    <row r="31" spans="1:6" x14ac:dyDescent="0.25">
      <c r="A31" s="1060" t="s">
        <v>462</v>
      </c>
      <c r="B31" s="819"/>
      <c r="C31" s="876">
        <f>SUM(C32)</f>
        <v>45</v>
      </c>
      <c r="D31" s="1067"/>
      <c r="E31" s="819"/>
      <c r="F31" s="876">
        <f>SUM(F32)</f>
        <v>45</v>
      </c>
    </row>
    <row r="32" spans="1:6" ht="14.4" thickBot="1" x14ac:dyDescent="0.3">
      <c r="A32" s="1149" t="s">
        <v>504</v>
      </c>
      <c r="B32" s="1143" t="s">
        <v>667</v>
      </c>
      <c r="C32" s="1107">
        <f>3*15</f>
        <v>45</v>
      </c>
      <c r="D32" s="1150" t="s">
        <v>505</v>
      </c>
      <c r="E32" s="1143" t="s">
        <v>3</v>
      </c>
      <c r="F32" s="1107">
        <f>3*15</f>
        <v>45</v>
      </c>
    </row>
    <row r="33" spans="1:6" ht="18" x14ac:dyDescent="0.25">
      <c r="A33" s="460" t="s">
        <v>320</v>
      </c>
      <c r="B33" s="1109"/>
      <c r="C33" s="1110">
        <f>C2+C6+C10+C12+C14+C18+C22+C26+C28+C31</f>
        <v>460</v>
      </c>
      <c r="D33" s="1148"/>
      <c r="E33" s="1109"/>
      <c r="F33" s="1110">
        <f>F2+F6+F10+F12+F14+F18+F22+F26+F28+F31</f>
        <v>214</v>
      </c>
    </row>
    <row r="34" spans="1:6" ht="18" x14ac:dyDescent="0.25">
      <c r="A34" s="266" t="s">
        <v>321</v>
      </c>
      <c r="B34" s="390"/>
      <c r="C34" s="598">
        <f>C33/(15*35)</f>
        <v>0.87619047619047619</v>
      </c>
      <c r="D34" s="820"/>
      <c r="E34" s="394"/>
      <c r="F34" s="598">
        <f>F33/(15*35)</f>
        <v>0.4076190476190476</v>
      </c>
    </row>
    <row r="35" spans="1:6" ht="18" x14ac:dyDescent="0.25">
      <c r="A35" s="266" t="s">
        <v>322</v>
      </c>
      <c r="B35" s="390"/>
      <c r="C35" s="600">
        <f>(C34+F34)/2</f>
        <v>0.64190476190476187</v>
      </c>
      <c r="D35" s="684"/>
      <c r="E35" s="394"/>
      <c r="F35" s="347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8"/>
  <sheetViews>
    <sheetView topLeftCell="A4" workbookViewId="0">
      <selection activeCell="J7" sqref="J7"/>
    </sheetView>
  </sheetViews>
  <sheetFormatPr defaultRowHeight="13.8" x14ac:dyDescent="0.25"/>
  <cols>
    <col min="1" max="1" width="20.3984375" style="72" customWidth="1"/>
    <col min="2" max="2" width="8.09765625" style="72" customWidth="1"/>
    <col min="3" max="3" width="12.796875" style="72" customWidth="1"/>
    <col min="4" max="4" width="8.69921875" style="513" customWidth="1"/>
    <col min="5" max="5" width="8.796875" style="513"/>
    <col min="6" max="6" width="10.296875" style="549" bestFit="1" customWidth="1"/>
    <col min="7" max="8" width="0" style="72" hidden="1" customWidth="1"/>
    <col min="9" max="16384" width="8.796875" style="72"/>
  </cols>
  <sheetData>
    <row r="1" spans="1:8" x14ac:dyDescent="0.25">
      <c r="A1" s="87"/>
      <c r="B1" s="87"/>
      <c r="C1" s="69" t="s">
        <v>512</v>
      </c>
      <c r="D1" s="346"/>
      <c r="E1" s="346"/>
      <c r="F1" s="69" t="s">
        <v>513</v>
      </c>
    </row>
    <row r="2" spans="1:8" ht="20.399999999999999" customHeight="1" x14ac:dyDescent="0.25">
      <c r="A2" s="871" t="s">
        <v>330</v>
      </c>
      <c r="B2" s="76"/>
      <c r="C2" s="876">
        <f>SUM(C3:C6)</f>
        <v>84</v>
      </c>
      <c r="D2" s="877"/>
      <c r="E2" s="877"/>
      <c r="F2" s="372">
        <f>SUM(F3)</f>
        <v>12</v>
      </c>
      <c r="G2" s="72">
        <v>238</v>
      </c>
      <c r="H2" s="72" t="s">
        <v>355</v>
      </c>
    </row>
    <row r="3" spans="1:8" ht="21" x14ac:dyDescent="0.4">
      <c r="A3" s="841" t="s">
        <v>357</v>
      </c>
      <c r="B3" s="129" t="s">
        <v>667</v>
      </c>
      <c r="C3" s="915">
        <v>36</v>
      </c>
      <c r="D3" s="823" t="s">
        <v>846</v>
      </c>
      <c r="E3" s="129" t="s">
        <v>667</v>
      </c>
      <c r="F3" s="993">
        <f>3*4</f>
        <v>12</v>
      </c>
    </row>
    <row r="4" spans="1:8" ht="21" x14ac:dyDescent="0.4">
      <c r="A4" s="841" t="s">
        <v>356</v>
      </c>
      <c r="B4" s="129" t="s">
        <v>667</v>
      </c>
      <c r="C4" s="961">
        <v>18</v>
      </c>
      <c r="D4" s="991"/>
      <c r="E4" s="991"/>
      <c r="F4" s="994"/>
    </row>
    <row r="5" spans="1:8" ht="18" customHeight="1" x14ac:dyDescent="0.4">
      <c r="A5" s="841" t="s">
        <v>362</v>
      </c>
      <c r="B5" s="129" t="s">
        <v>670</v>
      </c>
      <c r="C5" s="347">
        <v>15</v>
      </c>
      <c r="D5" s="376"/>
      <c r="E5" s="376"/>
      <c r="F5" s="332"/>
    </row>
    <row r="6" spans="1:8" ht="21" x14ac:dyDescent="0.4">
      <c r="A6" s="841" t="s">
        <v>829</v>
      </c>
      <c r="B6" s="129" t="s">
        <v>670</v>
      </c>
      <c r="C6" s="880">
        <v>15</v>
      </c>
      <c r="D6" s="376"/>
      <c r="E6" s="376"/>
      <c r="F6" s="332"/>
    </row>
    <row r="7" spans="1:8" ht="21" x14ac:dyDescent="0.25">
      <c r="A7" s="907" t="s">
        <v>337</v>
      </c>
      <c r="B7" s="73"/>
      <c r="C7" s="612">
        <f>SUM(C8:C12)</f>
        <v>84</v>
      </c>
      <c r="D7" s="963"/>
      <c r="E7" s="929"/>
      <c r="F7" s="731">
        <f>SUM(F8)</f>
        <v>24</v>
      </c>
    </row>
    <row r="8" spans="1:8" ht="21" x14ac:dyDescent="0.4">
      <c r="A8" s="841" t="s">
        <v>828</v>
      </c>
      <c r="B8" s="129" t="s">
        <v>667</v>
      </c>
      <c r="C8" s="870">
        <v>27</v>
      </c>
      <c r="D8" s="823" t="s">
        <v>846</v>
      </c>
      <c r="E8" s="129" t="s">
        <v>667</v>
      </c>
      <c r="F8" s="347">
        <v>24</v>
      </c>
    </row>
    <row r="9" spans="1:8" ht="21" x14ac:dyDescent="0.4">
      <c r="A9" s="841" t="s">
        <v>357</v>
      </c>
      <c r="B9" s="129" t="s">
        <v>667</v>
      </c>
      <c r="C9" s="727">
        <v>24</v>
      </c>
      <c r="D9" s="992"/>
      <c r="E9" s="971"/>
      <c r="F9" s="883"/>
    </row>
    <row r="10" spans="1:8" ht="21" x14ac:dyDescent="0.4">
      <c r="A10" s="841" t="s">
        <v>356</v>
      </c>
      <c r="B10" s="129" t="s">
        <v>667</v>
      </c>
      <c r="C10" s="727">
        <v>3</v>
      </c>
      <c r="D10" s="376"/>
      <c r="E10" s="376"/>
      <c r="F10" s="396"/>
    </row>
    <row r="11" spans="1:8" ht="21" x14ac:dyDescent="0.4">
      <c r="A11" s="841" t="s">
        <v>362</v>
      </c>
      <c r="B11" s="129" t="s">
        <v>670</v>
      </c>
      <c r="C11" s="622">
        <v>15</v>
      </c>
      <c r="D11" s="376"/>
      <c r="E11" s="376"/>
      <c r="F11" s="396"/>
    </row>
    <row r="12" spans="1:8" ht="21" x14ac:dyDescent="0.4">
      <c r="A12" s="841" t="s">
        <v>829</v>
      </c>
      <c r="B12" s="129" t="s">
        <v>670</v>
      </c>
      <c r="C12" s="622">
        <v>15</v>
      </c>
      <c r="D12" s="377"/>
      <c r="E12" s="377"/>
      <c r="F12" s="398"/>
    </row>
    <row r="13" spans="1:8" x14ac:dyDescent="0.25">
      <c r="A13" s="687" t="s">
        <v>343</v>
      </c>
      <c r="B13" s="87"/>
      <c r="C13" s="94">
        <f>SUM(C14:C15)</f>
        <v>12</v>
      </c>
      <c r="D13" s="253"/>
      <c r="E13" s="253"/>
      <c r="F13" s="989"/>
    </row>
    <row r="14" spans="1:8" ht="21" x14ac:dyDescent="0.25">
      <c r="A14" s="840" t="s">
        <v>356</v>
      </c>
      <c r="B14" s="120" t="s">
        <v>667</v>
      </c>
      <c r="C14" s="995">
        <v>6</v>
      </c>
      <c r="D14" s="376"/>
      <c r="E14" s="376"/>
      <c r="F14" s="1003"/>
    </row>
    <row r="15" spans="1:8" ht="21" x14ac:dyDescent="0.25">
      <c r="A15" s="840" t="s">
        <v>357</v>
      </c>
      <c r="B15" s="120" t="s">
        <v>667</v>
      </c>
      <c r="C15" s="895">
        <v>6</v>
      </c>
      <c r="D15" s="376"/>
      <c r="E15" s="376"/>
      <c r="F15" s="396"/>
    </row>
    <row r="16" spans="1:8" ht="18" x14ac:dyDescent="0.25">
      <c r="A16" s="266" t="s">
        <v>320</v>
      </c>
      <c r="B16" s="87"/>
      <c r="C16" s="829">
        <f>C2+C7+C13</f>
        <v>180</v>
      </c>
      <c r="D16" s="87"/>
      <c r="E16" s="684"/>
      <c r="F16" s="990">
        <f>F2+F7+F13</f>
        <v>36</v>
      </c>
    </row>
    <row r="17" spans="1:6" ht="18" x14ac:dyDescent="0.25">
      <c r="A17" s="266" t="s">
        <v>321</v>
      </c>
      <c r="B17" s="87"/>
      <c r="C17" s="522">
        <f>C16/(15*35)</f>
        <v>0.34285714285714286</v>
      </c>
      <c r="D17" s="87"/>
      <c r="E17" s="684"/>
      <c r="F17" s="523">
        <f>F16/(15*35)</f>
        <v>6.8571428571428575E-2</v>
      </c>
    </row>
    <row r="18" spans="1:6" ht="18" x14ac:dyDescent="0.25">
      <c r="A18" s="266" t="s">
        <v>322</v>
      </c>
      <c r="B18" s="87"/>
      <c r="C18" s="535">
        <f>(C17+F17)/2</f>
        <v>0.20571428571428571</v>
      </c>
      <c r="D18" s="87"/>
      <c r="E18" s="684"/>
      <c r="F18" s="337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5"/>
  <sheetViews>
    <sheetView workbookViewId="0">
      <selection activeCell="H18" sqref="H18"/>
    </sheetView>
  </sheetViews>
  <sheetFormatPr defaultRowHeight="13.8" x14ac:dyDescent="0.25"/>
  <cols>
    <col min="1" max="1" width="15.59765625" style="72" customWidth="1"/>
    <col min="2" max="2" width="7.3984375" style="72" customWidth="1"/>
    <col min="3" max="3" width="11.296875" style="72" customWidth="1"/>
    <col min="4" max="4" width="12.59765625" style="513" customWidth="1"/>
    <col min="5" max="5" width="8.796875" style="513"/>
    <col min="6" max="6" width="10.296875" style="513" bestFit="1" customWidth="1"/>
    <col min="7" max="16384" width="8.796875" style="72"/>
  </cols>
  <sheetData>
    <row r="1" spans="1:6" x14ac:dyDescent="0.25">
      <c r="A1" s="87"/>
      <c r="B1" s="87"/>
      <c r="C1" s="69" t="s">
        <v>512</v>
      </c>
      <c r="D1" s="346"/>
      <c r="E1" s="346"/>
      <c r="F1" s="69" t="s">
        <v>513</v>
      </c>
    </row>
    <row r="2" spans="1:6" s="117" customFormat="1" x14ac:dyDescent="0.25">
      <c r="A2" s="916" t="s">
        <v>349</v>
      </c>
      <c r="B2" s="571"/>
      <c r="C2" s="890">
        <f>SUM(C3)</f>
        <v>3</v>
      </c>
      <c r="D2" s="399"/>
      <c r="E2" s="253"/>
      <c r="F2" s="1008"/>
    </row>
    <row r="3" spans="1:6" ht="21" x14ac:dyDescent="0.4">
      <c r="A3" s="841" t="s">
        <v>356</v>
      </c>
      <c r="B3" s="129" t="s">
        <v>667</v>
      </c>
      <c r="C3" s="312">
        <v>3</v>
      </c>
      <c r="D3" s="377"/>
      <c r="E3" s="377"/>
      <c r="F3" s="397"/>
    </row>
    <row r="4" spans="1:6" s="885" customFormat="1" ht="21" x14ac:dyDescent="0.25">
      <c r="A4" s="687" t="s">
        <v>851</v>
      </c>
      <c r="B4" s="91"/>
      <c r="C4" s="286">
        <f>SUM(C5)</f>
        <v>3</v>
      </c>
      <c r="D4" s="1005"/>
      <c r="E4" s="969"/>
      <c r="F4" s="1001"/>
    </row>
    <row r="5" spans="1:6" s="885" customFormat="1" ht="21" x14ac:dyDescent="0.4">
      <c r="A5" s="841" t="s">
        <v>357</v>
      </c>
      <c r="B5" s="129" t="s">
        <v>667</v>
      </c>
      <c r="C5" s="312">
        <v>3</v>
      </c>
      <c r="D5" s="1006"/>
      <c r="E5" s="970"/>
      <c r="F5" s="1007"/>
    </row>
    <row r="6" spans="1:6" x14ac:dyDescent="0.25">
      <c r="A6" s="687" t="s">
        <v>350</v>
      </c>
      <c r="B6" s="87"/>
      <c r="C6" s="94">
        <f>SUM(C7)</f>
        <v>3</v>
      </c>
      <c r="D6" s="253"/>
      <c r="E6" s="253"/>
      <c r="F6" s="886"/>
    </row>
    <row r="7" spans="1:6" ht="21" x14ac:dyDescent="0.4">
      <c r="A7" s="841" t="s">
        <v>356</v>
      </c>
      <c r="B7" s="129" t="s">
        <v>667</v>
      </c>
      <c r="C7" s="68">
        <v>3</v>
      </c>
      <c r="D7" s="377"/>
      <c r="E7" s="377"/>
      <c r="F7" s="1004"/>
    </row>
    <row r="8" spans="1:6" x14ac:dyDescent="0.25">
      <c r="A8" s="687" t="s">
        <v>353</v>
      </c>
      <c r="B8" s="87"/>
      <c r="C8" s="94">
        <f>SUM(C9:C12)</f>
        <v>54</v>
      </c>
      <c r="D8" s="684"/>
      <c r="E8" s="684"/>
      <c r="F8" s="341"/>
    </row>
    <row r="9" spans="1:6" ht="21" x14ac:dyDescent="0.4">
      <c r="A9" s="841" t="s">
        <v>356</v>
      </c>
      <c r="B9" s="129" t="s">
        <v>667</v>
      </c>
      <c r="C9" s="87">
        <v>3</v>
      </c>
      <c r="D9" s="1010"/>
      <c r="E9" s="451"/>
      <c r="F9" s="395"/>
    </row>
    <row r="10" spans="1:6" ht="21" x14ac:dyDescent="0.4">
      <c r="A10" s="841" t="s">
        <v>834</v>
      </c>
      <c r="B10" s="129" t="s">
        <v>667</v>
      </c>
      <c r="C10" s="87">
        <v>21</v>
      </c>
      <c r="D10" s="1010"/>
      <c r="E10" s="451"/>
      <c r="F10" s="347"/>
    </row>
    <row r="11" spans="1:6" ht="21" x14ac:dyDescent="0.4">
      <c r="A11" s="841" t="s">
        <v>362</v>
      </c>
      <c r="B11" s="129" t="s">
        <v>670</v>
      </c>
      <c r="C11" s="87">
        <v>15</v>
      </c>
      <c r="D11" s="253"/>
      <c r="E11" s="253"/>
      <c r="F11" s="395"/>
    </row>
    <row r="12" spans="1:6" ht="21" x14ac:dyDescent="0.4">
      <c r="A12" s="841" t="s">
        <v>829</v>
      </c>
      <c r="B12" s="129" t="s">
        <v>670</v>
      </c>
      <c r="C12" s="85">
        <v>15</v>
      </c>
      <c r="D12" s="377"/>
      <c r="E12" s="377"/>
      <c r="F12" s="398"/>
    </row>
    <row r="13" spans="1:6" ht="18" x14ac:dyDescent="0.25">
      <c r="A13" s="266" t="s">
        <v>320</v>
      </c>
      <c r="B13" s="92"/>
      <c r="C13" s="829">
        <f>C2+C4+C6+C8</f>
        <v>63</v>
      </c>
      <c r="D13" s="74"/>
      <c r="E13" s="346"/>
      <c r="F13" s="990"/>
    </row>
    <row r="14" spans="1:6" ht="18" x14ac:dyDescent="0.25">
      <c r="A14" s="266" t="s">
        <v>321</v>
      </c>
      <c r="B14" s="74"/>
      <c r="C14" s="523">
        <f>C13/(15*35)</f>
        <v>0.12</v>
      </c>
      <c r="D14" s="74"/>
      <c r="E14" s="346"/>
      <c r="F14" s="523"/>
    </row>
    <row r="15" spans="1:6" ht="18" x14ac:dyDescent="0.25">
      <c r="A15" s="266" t="s">
        <v>322</v>
      </c>
      <c r="B15" s="74"/>
      <c r="C15" s="535">
        <f>(C14+F14)/2</f>
        <v>0.06</v>
      </c>
      <c r="D15" s="74"/>
      <c r="E15" s="346"/>
      <c r="F15" s="337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5"/>
  <sheetViews>
    <sheetView workbookViewId="0">
      <selection activeCell="D4" sqref="D4"/>
    </sheetView>
  </sheetViews>
  <sheetFormatPr defaultRowHeight="13.8" x14ac:dyDescent="0.25"/>
  <cols>
    <col min="1" max="1" width="20.3984375" style="72" customWidth="1"/>
    <col min="2" max="2" width="8.09765625" style="72" customWidth="1"/>
    <col min="3" max="3" width="12.796875" style="72" customWidth="1"/>
    <col min="4" max="4" width="15.59765625" style="513" customWidth="1"/>
    <col min="5" max="5" width="8.796875" style="513"/>
    <col min="6" max="6" width="10.296875" style="549" bestFit="1" customWidth="1"/>
    <col min="7" max="8" width="0" style="72" hidden="1" customWidth="1"/>
    <col min="9" max="16384" width="8.796875" style="72"/>
  </cols>
  <sheetData>
    <row r="1" spans="1:8" x14ac:dyDescent="0.25">
      <c r="A1" s="87"/>
      <c r="B1" s="87"/>
      <c r="C1" s="69" t="s">
        <v>512</v>
      </c>
      <c r="D1" s="346"/>
      <c r="E1" s="346"/>
      <c r="F1" s="69" t="s">
        <v>513</v>
      </c>
    </row>
    <row r="2" spans="1:8" ht="21" x14ac:dyDescent="0.25">
      <c r="A2" s="871" t="s">
        <v>330</v>
      </c>
      <c r="B2" s="76"/>
      <c r="C2" s="876">
        <f>SUM(C3)</f>
        <v>24</v>
      </c>
      <c r="D2" s="877"/>
      <c r="E2" s="877"/>
      <c r="F2" s="372">
        <f>SUM(F3:F4)</f>
        <v>15</v>
      </c>
      <c r="G2" s="72">
        <v>238</v>
      </c>
      <c r="H2" s="72" t="s">
        <v>355</v>
      </c>
    </row>
    <row r="3" spans="1:8" ht="21" x14ac:dyDescent="0.4">
      <c r="A3" s="841" t="s">
        <v>831</v>
      </c>
      <c r="B3" s="129" t="s">
        <v>667</v>
      </c>
      <c r="C3" s="961">
        <v>24</v>
      </c>
      <c r="D3" s="959" t="s">
        <v>854</v>
      </c>
      <c r="E3" s="129" t="s">
        <v>670</v>
      </c>
      <c r="F3" s="726">
        <v>7.5</v>
      </c>
    </row>
    <row r="4" spans="1:8" ht="21" x14ac:dyDescent="0.4">
      <c r="A4" s="869"/>
      <c r="B4" s="129"/>
      <c r="C4" s="889"/>
      <c r="D4" s="959" t="s">
        <v>855</v>
      </c>
      <c r="E4" s="129" t="s">
        <v>670</v>
      </c>
      <c r="F4" s="879">
        <v>7.5</v>
      </c>
    </row>
    <row r="5" spans="1:8" x14ac:dyDescent="0.25">
      <c r="A5" s="687" t="s">
        <v>328</v>
      </c>
      <c r="B5" s="81"/>
      <c r="C5" s="372">
        <f>SUM(C6:C9)</f>
        <v>44</v>
      </c>
      <c r="D5" s="684"/>
      <c r="E5" s="684"/>
      <c r="F5" s="341">
        <f>SUM(F6:F8)</f>
        <v>60</v>
      </c>
    </row>
    <row r="6" spans="1:8" ht="21" x14ac:dyDescent="0.4">
      <c r="A6" s="841" t="s">
        <v>360</v>
      </c>
      <c r="B6" s="129" t="s">
        <v>667</v>
      </c>
      <c r="C6" s="68">
        <v>9</v>
      </c>
      <c r="D6" s="823" t="s">
        <v>860</v>
      </c>
      <c r="E6" s="129" t="s">
        <v>667</v>
      </c>
      <c r="F6" s="395">
        <f>3*15</f>
        <v>45</v>
      </c>
    </row>
    <row r="7" spans="1:8" ht="21" x14ac:dyDescent="0.4">
      <c r="A7" s="841" t="s">
        <v>361</v>
      </c>
      <c r="B7" s="129" t="s">
        <v>667</v>
      </c>
      <c r="C7" s="87">
        <v>9</v>
      </c>
      <c r="D7" s="959" t="s">
        <v>854</v>
      </c>
      <c r="E7" s="129" t="s">
        <v>670</v>
      </c>
      <c r="F7" s="347">
        <v>7.5</v>
      </c>
    </row>
    <row r="8" spans="1:8" ht="21" x14ac:dyDescent="0.4">
      <c r="A8" s="841" t="s">
        <v>358</v>
      </c>
      <c r="B8" s="129" t="s">
        <v>670</v>
      </c>
      <c r="C8" s="87">
        <v>13</v>
      </c>
      <c r="D8" s="959" t="s">
        <v>855</v>
      </c>
      <c r="E8" s="129" t="s">
        <v>670</v>
      </c>
      <c r="F8" s="347">
        <v>7.5</v>
      </c>
    </row>
    <row r="9" spans="1:8" ht="21" x14ac:dyDescent="0.4">
      <c r="A9" s="841" t="s">
        <v>359</v>
      </c>
      <c r="B9" s="129" t="s">
        <v>670</v>
      </c>
      <c r="C9" s="75">
        <v>13</v>
      </c>
      <c r="D9" s="376"/>
      <c r="E9" s="376"/>
      <c r="F9" s="396"/>
    </row>
    <row r="10" spans="1:8" x14ac:dyDescent="0.25">
      <c r="A10" s="687" t="s">
        <v>343</v>
      </c>
      <c r="B10" s="87"/>
      <c r="C10" s="94">
        <f>SUM(C11:C12)</f>
        <v>30</v>
      </c>
      <c r="D10" s="684"/>
      <c r="E10" s="684"/>
      <c r="F10" s="341">
        <f>SUM(F11:F12)</f>
        <v>15</v>
      </c>
    </row>
    <row r="11" spans="1:8" ht="21" x14ac:dyDescent="0.4">
      <c r="A11" s="841" t="s">
        <v>358</v>
      </c>
      <c r="B11" s="129" t="s">
        <v>670</v>
      </c>
      <c r="C11" s="995">
        <v>15</v>
      </c>
      <c r="D11" s="959" t="s">
        <v>854</v>
      </c>
      <c r="E11" s="129" t="s">
        <v>670</v>
      </c>
      <c r="F11" s="395">
        <v>7.5</v>
      </c>
    </row>
    <row r="12" spans="1:8" ht="21" x14ac:dyDescent="0.4">
      <c r="A12" s="841" t="s">
        <v>359</v>
      </c>
      <c r="B12" s="129" t="s">
        <v>670</v>
      </c>
      <c r="C12" s="895">
        <v>15</v>
      </c>
      <c r="D12" s="959" t="s">
        <v>855</v>
      </c>
      <c r="E12" s="129" t="s">
        <v>670</v>
      </c>
      <c r="F12" s="347">
        <v>7.5</v>
      </c>
    </row>
    <row r="13" spans="1:8" x14ac:dyDescent="0.25">
      <c r="A13" s="906" t="s">
        <v>348</v>
      </c>
      <c r="B13" s="87"/>
      <c r="C13" s="286">
        <f>SUM(C14:C15)</f>
        <v>30</v>
      </c>
      <c r="D13" s="376"/>
      <c r="E13" s="376"/>
      <c r="F13" s="884">
        <f>SUM(F14:F15)</f>
        <v>15</v>
      </c>
    </row>
    <row r="14" spans="1:8" ht="21" x14ac:dyDescent="0.4">
      <c r="A14" s="841" t="s">
        <v>358</v>
      </c>
      <c r="B14" s="129" t="s">
        <v>670</v>
      </c>
      <c r="C14" s="87">
        <f>1*15</f>
        <v>15</v>
      </c>
      <c r="D14" s="959" t="s">
        <v>854</v>
      </c>
      <c r="E14" s="129" t="s">
        <v>670</v>
      </c>
      <c r="F14" s="87">
        <v>7.5</v>
      </c>
    </row>
    <row r="15" spans="1:8" ht="21" x14ac:dyDescent="0.4">
      <c r="A15" s="841" t="s">
        <v>359</v>
      </c>
      <c r="B15" s="129" t="s">
        <v>670</v>
      </c>
      <c r="C15" s="85">
        <f>1*15</f>
        <v>15</v>
      </c>
      <c r="D15" s="959" t="s">
        <v>855</v>
      </c>
      <c r="E15" s="129" t="s">
        <v>670</v>
      </c>
      <c r="F15" s="101">
        <v>7.5</v>
      </c>
    </row>
    <row r="16" spans="1:8" s="885" customFormat="1" ht="21" x14ac:dyDescent="0.25">
      <c r="A16" s="687" t="s">
        <v>836</v>
      </c>
      <c r="B16" s="962"/>
      <c r="C16" s="286">
        <f>SUM(C17:C19)</f>
        <v>66</v>
      </c>
      <c r="D16" s="963"/>
      <c r="E16" s="929"/>
      <c r="F16" s="607">
        <f>SUM(F17:F19)</f>
        <v>60</v>
      </c>
    </row>
    <row r="17" spans="1:6" s="885" customFormat="1" ht="21" x14ac:dyDescent="0.4">
      <c r="A17" s="841" t="s">
        <v>361</v>
      </c>
      <c r="B17" s="129" t="s">
        <v>667</v>
      </c>
      <c r="C17" s="289">
        <v>36</v>
      </c>
      <c r="D17" s="823" t="s">
        <v>861</v>
      </c>
      <c r="E17" s="129" t="s">
        <v>667</v>
      </c>
      <c r="F17" s="917">
        <f>3*15</f>
        <v>45</v>
      </c>
    </row>
    <row r="18" spans="1:6" s="885" customFormat="1" ht="21" x14ac:dyDescent="0.4">
      <c r="A18" s="841" t="s">
        <v>358</v>
      </c>
      <c r="B18" s="129" t="s">
        <v>670</v>
      </c>
      <c r="C18" s="81">
        <v>15</v>
      </c>
      <c r="D18" s="959" t="s">
        <v>854</v>
      </c>
      <c r="E18" s="129" t="s">
        <v>670</v>
      </c>
      <c r="F18" s="903">
        <v>7.5</v>
      </c>
    </row>
    <row r="19" spans="1:6" s="885" customFormat="1" ht="21" x14ac:dyDescent="0.4">
      <c r="A19" s="841" t="s">
        <v>359</v>
      </c>
      <c r="B19" s="129" t="s">
        <v>670</v>
      </c>
      <c r="C19" s="289">
        <v>15</v>
      </c>
      <c r="D19" s="959" t="s">
        <v>855</v>
      </c>
      <c r="E19" s="129" t="s">
        <v>670</v>
      </c>
      <c r="F19" s="919">
        <v>7.5</v>
      </c>
    </row>
    <row r="20" spans="1:6" ht="21" x14ac:dyDescent="0.25">
      <c r="A20" s="907" t="s">
        <v>337</v>
      </c>
      <c r="B20" s="73"/>
      <c r="C20" s="612"/>
      <c r="D20" s="963"/>
      <c r="E20" s="929"/>
      <c r="F20" s="909">
        <f>SUM(F21:F22)</f>
        <v>15</v>
      </c>
    </row>
    <row r="21" spans="1:6" ht="21" x14ac:dyDescent="0.4">
      <c r="A21" s="996"/>
      <c r="B21" s="122"/>
      <c r="C21" s="870"/>
      <c r="D21" s="959" t="s">
        <v>854</v>
      </c>
      <c r="E21" s="129" t="s">
        <v>670</v>
      </c>
      <c r="F21" s="347">
        <v>7.5</v>
      </c>
    </row>
    <row r="22" spans="1:6" ht="21" x14ac:dyDescent="0.4">
      <c r="A22" s="845"/>
      <c r="B22" s="141"/>
      <c r="C22" s="622"/>
      <c r="D22" s="959" t="s">
        <v>855</v>
      </c>
      <c r="E22" s="129" t="s">
        <v>670</v>
      </c>
      <c r="F22" s="912">
        <v>7.5</v>
      </c>
    </row>
    <row r="23" spans="1:6" ht="18" x14ac:dyDescent="0.25">
      <c r="A23" s="266" t="s">
        <v>320</v>
      </c>
      <c r="B23" s="92"/>
      <c r="C23" s="829">
        <f>C2+C5+C10+C13+C16+C20</f>
        <v>194</v>
      </c>
      <c r="D23" s="74"/>
      <c r="E23" s="346"/>
      <c r="F23" s="829">
        <f>F2+F5+F10+F13+F16+F20</f>
        <v>180</v>
      </c>
    </row>
    <row r="24" spans="1:6" ht="18" x14ac:dyDescent="0.25">
      <c r="A24" s="266" t="s">
        <v>321</v>
      </c>
      <c r="B24" s="74"/>
      <c r="C24" s="523">
        <f>C23/(15*35)</f>
        <v>0.36952380952380953</v>
      </c>
      <c r="D24" s="74"/>
      <c r="E24" s="346"/>
      <c r="F24" s="523">
        <f>F23/(15*35)</f>
        <v>0.34285714285714286</v>
      </c>
    </row>
    <row r="25" spans="1:6" ht="18" x14ac:dyDescent="0.25">
      <c r="A25" s="266" t="s">
        <v>322</v>
      </c>
      <c r="B25" s="74"/>
      <c r="C25" s="535">
        <f>(C24+F24)/2</f>
        <v>0.35619047619047617</v>
      </c>
      <c r="D25" s="74"/>
      <c r="E25" s="346"/>
      <c r="F25" s="337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F26"/>
  <sheetViews>
    <sheetView workbookViewId="0">
      <selection activeCell="D20" sqref="D20"/>
    </sheetView>
  </sheetViews>
  <sheetFormatPr defaultRowHeight="13.8" x14ac:dyDescent="0.25"/>
  <cols>
    <col min="1" max="1" width="15.59765625" style="72" customWidth="1"/>
    <col min="2" max="2" width="7.3984375" style="72" customWidth="1"/>
    <col min="3" max="3" width="11.296875" style="72" customWidth="1"/>
    <col min="4" max="5" width="8.796875" style="513"/>
    <col min="6" max="6" width="10.296875" style="513" bestFit="1" customWidth="1"/>
    <col min="7" max="16384" width="8.796875" style="72"/>
  </cols>
  <sheetData>
    <row r="1" spans="1:6" x14ac:dyDescent="0.25">
      <c r="A1" s="87"/>
      <c r="B1" s="87"/>
      <c r="C1" s="69" t="s">
        <v>512</v>
      </c>
      <c r="D1" s="346"/>
      <c r="E1" s="346"/>
      <c r="F1" s="69" t="s">
        <v>513</v>
      </c>
    </row>
    <row r="2" spans="1:6" x14ac:dyDescent="0.25">
      <c r="A2" s="897" t="s">
        <v>813</v>
      </c>
      <c r="C2" s="874">
        <f>SUM(C3:C4)</f>
        <v>30</v>
      </c>
      <c r="D2" s="338"/>
      <c r="E2" s="346"/>
      <c r="F2" s="607">
        <f>SUM(F3:F4)</f>
        <v>15</v>
      </c>
    </row>
    <row r="3" spans="1:6" ht="21" x14ac:dyDescent="0.4">
      <c r="A3" s="841" t="s">
        <v>358</v>
      </c>
      <c r="B3" s="129" t="s">
        <v>670</v>
      </c>
      <c r="C3" s="87">
        <f>1*15</f>
        <v>15</v>
      </c>
      <c r="D3" s="959" t="s">
        <v>854</v>
      </c>
      <c r="E3" s="129" t="s">
        <v>670</v>
      </c>
      <c r="F3" s="896">
        <v>7.5</v>
      </c>
    </row>
    <row r="4" spans="1:6" ht="21" x14ac:dyDescent="0.4">
      <c r="A4" s="841" t="s">
        <v>359</v>
      </c>
      <c r="B4" s="129" t="s">
        <v>670</v>
      </c>
      <c r="C4" s="75">
        <f>1*15</f>
        <v>15</v>
      </c>
      <c r="D4" s="959" t="s">
        <v>855</v>
      </c>
      <c r="E4" s="129" t="s">
        <v>670</v>
      </c>
      <c r="F4" s="896">
        <v>7.5</v>
      </c>
    </row>
    <row r="5" spans="1:6" x14ac:dyDescent="0.25">
      <c r="A5" s="687" t="s">
        <v>350</v>
      </c>
      <c r="B5" s="87"/>
      <c r="C5" s="94">
        <f>SUM(C6:C7)</f>
        <v>30</v>
      </c>
      <c r="D5" s="684"/>
      <c r="E5" s="684"/>
      <c r="F5" s="904">
        <f>SUM(F6:F7)</f>
        <v>15</v>
      </c>
    </row>
    <row r="6" spans="1:6" ht="21" x14ac:dyDescent="0.4">
      <c r="A6" s="841" t="s">
        <v>358</v>
      </c>
      <c r="B6" s="129" t="s">
        <v>670</v>
      </c>
      <c r="C6" s="87">
        <f>1*15</f>
        <v>15</v>
      </c>
      <c r="D6" s="965" t="s">
        <v>854</v>
      </c>
      <c r="E6" s="129" t="s">
        <v>670</v>
      </c>
      <c r="F6" s="15">
        <v>7.5</v>
      </c>
    </row>
    <row r="7" spans="1:6" ht="21" x14ac:dyDescent="0.4">
      <c r="A7" s="841" t="s">
        <v>359</v>
      </c>
      <c r="B7" s="129" t="s">
        <v>670</v>
      </c>
      <c r="C7" s="75">
        <f>1*15</f>
        <v>15</v>
      </c>
      <c r="D7" s="965" t="s">
        <v>855</v>
      </c>
      <c r="E7" s="129" t="s">
        <v>670</v>
      </c>
      <c r="F7" s="15">
        <v>7.5</v>
      </c>
    </row>
    <row r="8" spans="1:6" s="117" customFormat="1" x14ac:dyDescent="0.25">
      <c r="A8" s="916" t="s">
        <v>349</v>
      </c>
      <c r="B8" s="699"/>
      <c r="C8" s="612">
        <f>SUM(C9:C10)</f>
        <v>30</v>
      </c>
      <c r="D8" s="684"/>
      <c r="E8" s="684"/>
      <c r="F8" s="607">
        <f>SUM(F9:F11)</f>
        <v>37.5</v>
      </c>
    </row>
    <row r="9" spans="1:6" ht="21" x14ac:dyDescent="0.4">
      <c r="A9" s="841" t="s">
        <v>358</v>
      </c>
      <c r="B9" s="129" t="s">
        <v>670</v>
      </c>
      <c r="C9" s="81">
        <v>15</v>
      </c>
      <c r="D9" s="997" t="s">
        <v>856</v>
      </c>
      <c r="E9" s="129" t="s">
        <v>667</v>
      </c>
      <c r="F9" s="395">
        <v>22.5</v>
      </c>
    </row>
    <row r="10" spans="1:6" s="885" customFormat="1" ht="21" x14ac:dyDescent="0.4">
      <c r="A10" s="841" t="s">
        <v>359</v>
      </c>
      <c r="B10" s="129" t="s">
        <v>670</v>
      </c>
      <c r="C10" s="81">
        <v>15</v>
      </c>
      <c r="D10" s="959" t="s">
        <v>854</v>
      </c>
      <c r="E10" s="129" t="s">
        <v>670</v>
      </c>
      <c r="F10" s="903">
        <v>7.5</v>
      </c>
    </row>
    <row r="11" spans="1:6" s="885" customFormat="1" ht="21" x14ac:dyDescent="0.4">
      <c r="A11" s="869"/>
      <c r="B11" s="129"/>
      <c r="C11" s="289"/>
      <c r="D11" s="959" t="s">
        <v>855</v>
      </c>
      <c r="E11" s="129" t="s">
        <v>670</v>
      </c>
      <c r="F11" s="919">
        <v>7.5</v>
      </c>
    </row>
    <row r="12" spans="1:6" s="885" customFormat="1" ht="21" x14ac:dyDescent="0.25">
      <c r="A12" s="687" t="s">
        <v>851</v>
      </c>
      <c r="B12" s="91"/>
      <c r="C12" s="286">
        <f>SUM(C13:C14)</f>
        <v>30</v>
      </c>
      <c r="D12" s="963"/>
      <c r="E12" s="929"/>
      <c r="F12" s="893">
        <f>SUM(F13:F14)</f>
        <v>15</v>
      </c>
    </row>
    <row r="13" spans="1:6" s="885" customFormat="1" ht="21" x14ac:dyDescent="0.4">
      <c r="A13" s="841" t="s">
        <v>358</v>
      </c>
      <c r="B13" s="129" t="s">
        <v>670</v>
      </c>
      <c r="C13" s="81">
        <f>1*15</f>
        <v>15</v>
      </c>
      <c r="D13" s="959" t="s">
        <v>854</v>
      </c>
      <c r="E13" s="129" t="s">
        <v>670</v>
      </c>
      <c r="F13" s="103">
        <v>7.5</v>
      </c>
    </row>
    <row r="14" spans="1:6" s="885" customFormat="1" ht="21" x14ac:dyDescent="0.4">
      <c r="A14" s="841" t="s">
        <v>359</v>
      </c>
      <c r="B14" s="129" t="s">
        <v>670</v>
      </c>
      <c r="C14" s="81">
        <f>1*15</f>
        <v>15</v>
      </c>
      <c r="D14" s="959" t="s">
        <v>855</v>
      </c>
      <c r="E14" s="129" t="s">
        <v>670</v>
      </c>
      <c r="F14" s="81">
        <v>7.5</v>
      </c>
    </row>
    <row r="15" spans="1:6" x14ac:dyDescent="0.25">
      <c r="A15" s="906" t="s">
        <v>852</v>
      </c>
      <c r="B15" s="87"/>
      <c r="C15" s="286">
        <f>SUM(C16:C17)</f>
        <v>30</v>
      </c>
      <c r="D15" s="684"/>
      <c r="E15" s="684"/>
      <c r="F15" s="607"/>
    </row>
    <row r="16" spans="1:6" ht="21" x14ac:dyDescent="0.4">
      <c r="A16" s="841" t="s">
        <v>358</v>
      </c>
      <c r="B16" s="129" t="s">
        <v>670</v>
      </c>
      <c r="C16" s="87">
        <f>1*15</f>
        <v>15</v>
      </c>
      <c r="D16" s="253"/>
      <c r="E16" s="253"/>
      <c r="F16" s="886"/>
    </row>
    <row r="17" spans="1:6" ht="21" x14ac:dyDescent="0.4">
      <c r="A17" s="841" t="s">
        <v>359</v>
      </c>
      <c r="B17" s="129" t="s">
        <v>670</v>
      </c>
      <c r="C17" s="75">
        <f>1*15</f>
        <v>15</v>
      </c>
      <c r="D17" s="376"/>
      <c r="E17" s="376"/>
      <c r="F17" s="380"/>
    </row>
    <row r="18" spans="1:6" x14ac:dyDescent="0.25">
      <c r="A18" s="687" t="s">
        <v>853</v>
      </c>
      <c r="B18" s="87"/>
      <c r="C18" s="286">
        <f>SUM(C19:C20)</f>
        <v>30</v>
      </c>
      <c r="D18" s="684"/>
      <c r="E18" s="684"/>
      <c r="F18" s="878">
        <f>SUM(F19:F20)</f>
        <v>15</v>
      </c>
    </row>
    <row r="19" spans="1:6" ht="21" x14ac:dyDescent="0.4">
      <c r="A19" s="841" t="s">
        <v>358</v>
      </c>
      <c r="B19" s="129" t="s">
        <v>670</v>
      </c>
      <c r="C19" s="87">
        <v>15</v>
      </c>
      <c r="D19" s="1009" t="s">
        <v>854</v>
      </c>
      <c r="E19" s="129" t="s">
        <v>670</v>
      </c>
      <c r="F19" s="395">
        <v>7.5</v>
      </c>
    </row>
    <row r="20" spans="1:6" ht="21" x14ac:dyDescent="0.4">
      <c r="A20" s="841" t="s">
        <v>359</v>
      </c>
      <c r="B20" s="129" t="s">
        <v>670</v>
      </c>
      <c r="C20" s="85">
        <v>15</v>
      </c>
      <c r="D20" s="1009" t="s">
        <v>855</v>
      </c>
      <c r="E20" s="129" t="s">
        <v>670</v>
      </c>
      <c r="F20" s="337">
        <v>7.5</v>
      </c>
    </row>
    <row r="21" spans="1:6" customFormat="1" x14ac:dyDescent="0.25">
      <c r="A21" s="286" t="s">
        <v>353</v>
      </c>
      <c r="B21" s="87"/>
      <c r="C21" s="94"/>
      <c r="D21" s="684"/>
      <c r="E21" s="684"/>
      <c r="F21" s="363">
        <f>SUM(F22:F23)</f>
        <v>15</v>
      </c>
    </row>
    <row r="22" spans="1:6" customFormat="1" ht="21" x14ac:dyDescent="0.4">
      <c r="A22" s="823"/>
      <c r="B22" s="129"/>
      <c r="C22" s="87"/>
      <c r="D22" s="968" t="s">
        <v>854</v>
      </c>
      <c r="E22" s="451" t="s">
        <v>670</v>
      </c>
      <c r="F22" s="347">
        <v>7.5</v>
      </c>
    </row>
    <row r="23" spans="1:6" customFormat="1" ht="21" x14ac:dyDescent="0.4">
      <c r="A23" s="823"/>
      <c r="B23" s="129"/>
      <c r="C23" s="87"/>
      <c r="D23" s="968" t="s">
        <v>855</v>
      </c>
      <c r="E23" s="451" t="s">
        <v>670</v>
      </c>
      <c r="F23" s="347">
        <v>7.5</v>
      </c>
    </row>
    <row r="24" spans="1:6" ht="18" x14ac:dyDescent="0.25">
      <c r="A24" s="266" t="s">
        <v>320</v>
      </c>
      <c r="B24" s="92"/>
      <c r="C24" s="829">
        <f>C2+C5+C8+C12+C15+C18+C21</f>
        <v>180</v>
      </c>
      <c r="D24" s="74"/>
      <c r="E24" s="346"/>
      <c r="F24" s="829">
        <f>F2+F5+F8+F12+F15+F18+F21</f>
        <v>112.5</v>
      </c>
    </row>
    <row r="25" spans="1:6" ht="18" x14ac:dyDescent="0.25">
      <c r="A25" s="266" t="s">
        <v>321</v>
      </c>
      <c r="B25" s="74"/>
      <c r="C25" s="523">
        <f>C24/(15*35)</f>
        <v>0.34285714285714286</v>
      </c>
      <c r="D25" s="74"/>
      <c r="E25" s="346"/>
      <c r="F25" s="523">
        <f>F24/(15*35)</f>
        <v>0.21428571428571427</v>
      </c>
    </row>
    <row r="26" spans="1:6" ht="18" x14ac:dyDescent="0.25">
      <c r="A26" s="266" t="s">
        <v>322</v>
      </c>
      <c r="B26" s="74"/>
      <c r="C26" s="535">
        <f>(C25+F25)/2</f>
        <v>0.27857142857142858</v>
      </c>
      <c r="D26" s="74"/>
      <c r="E26" s="346"/>
      <c r="F26" s="337"/>
    </row>
  </sheetData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4"/>
  <sheetViews>
    <sheetView workbookViewId="0">
      <selection activeCell="J15" sqref="J15"/>
    </sheetView>
  </sheetViews>
  <sheetFormatPr defaultRowHeight="13.8" x14ac:dyDescent="0.25"/>
  <cols>
    <col min="3" max="3" width="10.796875" customWidth="1"/>
    <col min="6" max="6" width="11.5" customWidth="1"/>
  </cols>
  <sheetData>
    <row r="1" spans="1:6" s="72" customFormat="1" x14ac:dyDescent="0.25">
      <c r="A1" s="87"/>
      <c r="B1" s="87"/>
      <c r="C1" s="69" t="s">
        <v>512</v>
      </c>
      <c r="D1" s="346"/>
      <c r="E1" s="346"/>
      <c r="F1" s="69" t="s">
        <v>513</v>
      </c>
    </row>
    <row r="2" spans="1:6" s="72" customFormat="1" ht="21" x14ac:dyDescent="0.25">
      <c r="A2" s="871" t="s">
        <v>337</v>
      </c>
      <c r="B2" s="73"/>
      <c r="C2" s="612"/>
      <c r="D2" s="881"/>
      <c r="E2" s="882"/>
      <c r="F2" s="909">
        <f>SUM(F3:F4)</f>
        <v>15</v>
      </c>
    </row>
    <row r="3" spans="1:6" s="72" customFormat="1" ht="21" x14ac:dyDescent="0.4">
      <c r="A3" s="823"/>
      <c r="B3" s="129"/>
      <c r="C3" s="727"/>
      <c r="D3" s="959" t="s">
        <v>854</v>
      </c>
      <c r="E3" s="129" t="s">
        <v>670</v>
      </c>
      <c r="F3" s="347">
        <v>7.5</v>
      </c>
    </row>
    <row r="4" spans="1:6" s="72" customFormat="1" ht="21" x14ac:dyDescent="0.4">
      <c r="A4" s="823"/>
      <c r="B4" s="129"/>
      <c r="C4" s="727"/>
      <c r="D4" s="959" t="s">
        <v>855</v>
      </c>
      <c r="E4" s="129" t="s">
        <v>670</v>
      </c>
      <c r="F4" s="674">
        <v>7.5</v>
      </c>
    </row>
    <row r="5" spans="1:6" s="72" customFormat="1" ht="21" x14ac:dyDescent="0.25">
      <c r="A5" s="871" t="s">
        <v>330</v>
      </c>
      <c r="B5" s="73"/>
      <c r="C5" s="372"/>
      <c r="D5" s="960"/>
      <c r="E5" s="960"/>
      <c r="F5" s="372">
        <f>SUM(F6:F7)</f>
        <v>15</v>
      </c>
    </row>
    <row r="6" spans="1:6" s="72" customFormat="1" ht="21" x14ac:dyDescent="0.4">
      <c r="A6" s="823"/>
      <c r="B6" s="129"/>
      <c r="C6" s="961"/>
      <c r="D6" s="959" t="s">
        <v>854</v>
      </c>
      <c r="E6" s="129" t="s">
        <v>670</v>
      </c>
      <c r="F6" s="726">
        <v>7.5</v>
      </c>
    </row>
    <row r="7" spans="1:6" s="72" customFormat="1" ht="21" x14ac:dyDescent="0.4">
      <c r="A7" s="823"/>
      <c r="B7" s="129"/>
      <c r="C7" s="961"/>
      <c r="D7" s="959" t="s">
        <v>855</v>
      </c>
      <c r="E7" s="129" t="s">
        <v>670</v>
      </c>
      <c r="F7" s="726">
        <v>7.5</v>
      </c>
    </row>
    <row r="8" spans="1:6" s="72" customFormat="1" x14ac:dyDescent="0.25">
      <c r="A8" s="687" t="s">
        <v>328</v>
      </c>
      <c r="B8" s="81"/>
      <c r="C8" s="372"/>
      <c r="D8" s="684"/>
      <c r="E8" s="684"/>
      <c r="F8" s="341">
        <f>SUM(F9:F10)</f>
        <v>15</v>
      </c>
    </row>
    <row r="9" spans="1:6" s="72" customFormat="1" ht="21" x14ac:dyDescent="0.4">
      <c r="A9" s="841"/>
      <c r="B9" s="129"/>
      <c r="C9" s="87"/>
      <c r="D9" s="959" t="s">
        <v>826</v>
      </c>
      <c r="E9" s="129" t="s">
        <v>670</v>
      </c>
      <c r="F9" s="347">
        <v>7.5</v>
      </c>
    </row>
    <row r="10" spans="1:6" s="72" customFormat="1" ht="21" x14ac:dyDescent="0.4">
      <c r="A10" s="841"/>
      <c r="B10" s="129"/>
      <c r="C10" s="87"/>
      <c r="D10" s="959" t="s">
        <v>827</v>
      </c>
      <c r="E10" s="129" t="s">
        <v>670</v>
      </c>
      <c r="F10" s="347">
        <v>7.5</v>
      </c>
    </row>
    <row r="11" spans="1:6" s="885" customFormat="1" ht="21" x14ac:dyDescent="0.25">
      <c r="A11" s="286" t="s">
        <v>836</v>
      </c>
      <c r="B11" s="962"/>
      <c r="C11" s="286"/>
      <c r="D11" s="963"/>
      <c r="E11" s="929"/>
      <c r="F11" s="623">
        <f>SUM(F12:F13)</f>
        <v>15</v>
      </c>
    </row>
    <row r="12" spans="1:6" s="885" customFormat="1" ht="21" x14ac:dyDescent="0.4">
      <c r="A12" s="823"/>
      <c r="B12" s="129"/>
      <c r="C12" s="81"/>
      <c r="D12" s="959" t="s">
        <v>854</v>
      </c>
      <c r="E12" s="129" t="s">
        <v>670</v>
      </c>
      <c r="F12" s="903">
        <v>7.5</v>
      </c>
    </row>
    <row r="13" spans="1:6" s="885" customFormat="1" ht="21" x14ac:dyDescent="0.4">
      <c r="A13" s="823"/>
      <c r="B13" s="129"/>
      <c r="C13" s="81"/>
      <c r="D13" s="959" t="s">
        <v>855</v>
      </c>
      <c r="E13" s="129" t="s">
        <v>670</v>
      </c>
      <c r="F13" s="903">
        <v>7.5</v>
      </c>
    </row>
    <row r="14" spans="1:6" s="72" customFormat="1" ht="21" x14ac:dyDescent="0.25">
      <c r="A14" s="286" t="s">
        <v>343</v>
      </c>
      <c r="B14" s="81"/>
      <c r="C14" s="372"/>
      <c r="D14" s="73"/>
      <c r="E14" s="929"/>
      <c r="F14" s="611">
        <f>SUM(F15:F18)</f>
        <v>105</v>
      </c>
    </row>
    <row r="15" spans="1:6" ht="21" x14ac:dyDescent="0.25">
      <c r="A15" s="13"/>
      <c r="B15" s="13"/>
      <c r="C15" s="13"/>
      <c r="D15" s="457" t="s">
        <v>863</v>
      </c>
      <c r="E15" s="520" t="s">
        <v>667</v>
      </c>
      <c r="F15" s="13">
        <v>45</v>
      </c>
    </row>
    <row r="16" spans="1:6" ht="21" x14ac:dyDescent="0.25">
      <c r="A16" s="13"/>
      <c r="B16" s="13"/>
      <c r="C16" s="13"/>
      <c r="D16" s="457" t="s">
        <v>862</v>
      </c>
      <c r="E16" s="520" t="s">
        <v>667</v>
      </c>
      <c r="F16" s="13">
        <v>45</v>
      </c>
    </row>
    <row r="17" spans="1:6" s="99" customFormat="1" ht="21" x14ac:dyDescent="0.4">
      <c r="A17" s="457"/>
      <c r="B17" s="129"/>
      <c r="C17" s="87"/>
      <c r="D17" s="959" t="s">
        <v>854</v>
      </c>
      <c r="E17" s="129" t="s">
        <v>670</v>
      </c>
      <c r="F17" s="347">
        <v>7.5</v>
      </c>
    </row>
    <row r="18" spans="1:6" ht="21" x14ac:dyDescent="0.4">
      <c r="A18" s="13"/>
      <c r="B18" s="13"/>
      <c r="C18" s="13"/>
      <c r="D18" s="959" t="s">
        <v>855</v>
      </c>
      <c r="E18" s="129" t="s">
        <v>670</v>
      </c>
      <c r="F18" s="347">
        <v>7.5</v>
      </c>
    </row>
    <row r="19" spans="1:6" s="72" customFormat="1" x14ac:dyDescent="0.25">
      <c r="A19" s="908" t="s">
        <v>348</v>
      </c>
      <c r="B19" s="87"/>
      <c r="C19" s="286"/>
      <c r="D19" s="684"/>
      <c r="E19" s="684"/>
      <c r="F19" s="372">
        <f>SUM(F20:F21)</f>
        <v>15</v>
      </c>
    </row>
    <row r="20" spans="1:6" s="72" customFormat="1" ht="21" x14ac:dyDescent="0.4">
      <c r="A20" s="823"/>
      <c r="B20" s="129"/>
      <c r="C20" s="87"/>
      <c r="D20" s="959" t="s">
        <v>854</v>
      </c>
      <c r="E20" s="129" t="s">
        <v>670</v>
      </c>
      <c r="F20" s="87">
        <v>7.5</v>
      </c>
    </row>
    <row r="21" spans="1:6" s="72" customFormat="1" ht="21" x14ac:dyDescent="0.4">
      <c r="A21" s="823"/>
      <c r="B21" s="129"/>
      <c r="C21" s="87"/>
      <c r="D21" s="959" t="s">
        <v>855</v>
      </c>
      <c r="E21" s="129" t="s">
        <v>670</v>
      </c>
      <c r="F21" s="87">
        <v>7.5</v>
      </c>
    </row>
    <row r="22" spans="1:6" s="72" customFormat="1" ht="18" x14ac:dyDescent="0.25">
      <c r="A22" s="266" t="s">
        <v>320</v>
      </c>
      <c r="B22" s="92"/>
      <c r="C22" s="74"/>
      <c r="D22" s="829"/>
      <c r="E22" s="346"/>
      <c r="F22" s="829">
        <f>F2+F5+F8+F11+F14+F19</f>
        <v>180</v>
      </c>
    </row>
    <row r="23" spans="1:6" s="72" customFormat="1" ht="18" x14ac:dyDescent="0.25">
      <c r="A23" s="266" t="s">
        <v>321</v>
      </c>
      <c r="B23" s="74"/>
      <c r="C23" s="74"/>
      <c r="D23" s="523"/>
      <c r="E23" s="346"/>
      <c r="F23" s="523">
        <f>F22/(15*35)</f>
        <v>0.34285714285714286</v>
      </c>
    </row>
    <row r="24" spans="1:6" s="72" customFormat="1" ht="18" x14ac:dyDescent="0.25">
      <c r="A24" s="266" t="s">
        <v>322</v>
      </c>
      <c r="B24" s="74"/>
      <c r="C24" s="74"/>
      <c r="D24" s="535">
        <f>F23</f>
        <v>0.34285714285714286</v>
      </c>
      <c r="E24" s="346"/>
      <c r="F24" s="33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F27"/>
  <sheetViews>
    <sheetView workbookViewId="0">
      <selection activeCell="D15" sqref="D15"/>
    </sheetView>
  </sheetViews>
  <sheetFormatPr defaultRowHeight="13.8" x14ac:dyDescent="0.25"/>
  <cols>
    <col min="1" max="1" width="14.8984375" customWidth="1"/>
    <col min="3" max="3" width="10.296875" bestFit="1" customWidth="1"/>
    <col min="4" max="4" width="12" customWidth="1"/>
    <col min="6" max="6" width="10.296875" bestFit="1" customWidth="1"/>
  </cols>
  <sheetData>
    <row r="1" spans="1:6" s="72" customFormat="1" x14ac:dyDescent="0.25">
      <c r="A1" s="87"/>
      <c r="B1" s="87"/>
      <c r="C1" s="69" t="s">
        <v>512</v>
      </c>
      <c r="D1" s="346"/>
      <c r="E1" s="346"/>
      <c r="F1" s="69" t="s">
        <v>513</v>
      </c>
    </row>
    <row r="2" spans="1:6" s="72" customFormat="1" x14ac:dyDescent="0.25">
      <c r="A2" s="897" t="s">
        <v>813</v>
      </c>
      <c r="C2" s="874"/>
      <c r="D2" s="338"/>
      <c r="E2" s="346"/>
      <c r="F2" s="607">
        <f>SUM(F3:F4)</f>
        <v>15</v>
      </c>
    </row>
    <row r="3" spans="1:6" s="72" customFormat="1" ht="21" x14ac:dyDescent="0.4">
      <c r="A3" s="823"/>
      <c r="B3" s="129"/>
      <c r="C3" s="87"/>
      <c r="D3" s="959" t="s">
        <v>854</v>
      </c>
      <c r="E3" s="942" t="s">
        <v>670</v>
      </c>
      <c r="F3" s="964">
        <v>7.5</v>
      </c>
    </row>
    <row r="4" spans="1:6" ht="21" x14ac:dyDescent="0.4">
      <c r="A4" s="13"/>
      <c r="B4" s="13"/>
      <c r="C4" s="13"/>
      <c r="D4" s="959" t="s">
        <v>855</v>
      </c>
      <c r="E4" s="942" t="s">
        <v>670</v>
      </c>
      <c r="F4" s="13">
        <v>7.5</v>
      </c>
    </row>
    <row r="5" spans="1:6" s="80" customFormat="1" ht="21" x14ac:dyDescent="0.25">
      <c r="A5" s="286" t="s">
        <v>350</v>
      </c>
      <c r="B5" s="81"/>
      <c r="C5" s="286"/>
      <c r="D5" s="83"/>
      <c r="E5" s="939"/>
      <c r="F5" s="611">
        <f>SUM(F6:F12)</f>
        <v>97.5</v>
      </c>
    </row>
    <row r="6" spans="1:6" s="80" customFormat="1" ht="21" x14ac:dyDescent="0.25">
      <c r="A6" s="457"/>
      <c r="B6" s="116"/>
      <c r="C6" s="286"/>
      <c r="D6" s="724" t="s">
        <v>845</v>
      </c>
      <c r="E6" s="116" t="s">
        <v>3</v>
      </c>
      <c r="F6" s="611">
        <f>SUM(F7:F8)</f>
        <v>15</v>
      </c>
    </row>
    <row r="7" spans="1:6" ht="21" x14ac:dyDescent="0.4">
      <c r="A7" s="13"/>
      <c r="B7" s="13"/>
      <c r="C7" s="13"/>
      <c r="D7" s="965" t="s">
        <v>854</v>
      </c>
      <c r="E7" s="129" t="s">
        <v>670</v>
      </c>
      <c r="F7" s="13">
        <v>7.5</v>
      </c>
    </row>
    <row r="8" spans="1:6" ht="21" x14ac:dyDescent="0.4">
      <c r="A8" s="13"/>
      <c r="B8" s="13"/>
      <c r="C8" s="13"/>
      <c r="D8" s="965" t="s">
        <v>855</v>
      </c>
      <c r="E8" s="129" t="s">
        <v>670</v>
      </c>
      <c r="F8" s="13">
        <v>7.5</v>
      </c>
    </row>
    <row r="9" spans="1:6" s="885" customFormat="1" ht="21" x14ac:dyDescent="0.25">
      <c r="A9" s="286" t="s">
        <v>851</v>
      </c>
      <c r="B9" s="91"/>
      <c r="C9" s="286"/>
      <c r="D9" s="963"/>
      <c r="E9" s="929"/>
      <c r="F9" s="611">
        <f>SUM(F10:F11)</f>
        <v>15</v>
      </c>
    </row>
    <row r="10" spans="1:6" s="885" customFormat="1" ht="21" x14ac:dyDescent="0.4">
      <c r="A10" s="823"/>
      <c r="B10" s="129"/>
      <c r="C10" s="81"/>
      <c r="D10" s="959" t="s">
        <v>854</v>
      </c>
      <c r="E10" s="129" t="s">
        <v>670</v>
      </c>
      <c r="F10" s="81">
        <v>7.5</v>
      </c>
    </row>
    <row r="11" spans="1:6" s="885" customFormat="1" ht="21" x14ac:dyDescent="0.4">
      <c r="A11" s="823"/>
      <c r="B11" s="129"/>
      <c r="C11" s="81"/>
      <c r="D11" s="959" t="s">
        <v>855</v>
      </c>
      <c r="E11" s="129" t="s">
        <v>670</v>
      </c>
      <c r="F11" s="81">
        <v>7.5</v>
      </c>
    </row>
    <row r="12" spans="1:6" s="117" customFormat="1" x14ac:dyDescent="0.25">
      <c r="A12" s="966" t="s">
        <v>349</v>
      </c>
      <c r="B12" s="699"/>
      <c r="C12" s="612"/>
      <c r="D12" s="684"/>
      <c r="E12" s="684"/>
      <c r="F12" s="623">
        <f>SUM(F13:F15)</f>
        <v>37.5</v>
      </c>
    </row>
    <row r="13" spans="1:6" s="72" customFormat="1" ht="21" x14ac:dyDescent="0.4">
      <c r="A13" s="823"/>
      <c r="B13" s="129"/>
      <c r="C13" s="81"/>
      <c r="D13" s="959" t="s">
        <v>856</v>
      </c>
      <c r="E13" s="129" t="s">
        <v>667</v>
      </c>
      <c r="F13" s="347">
        <v>22.5</v>
      </c>
    </row>
    <row r="14" spans="1:6" s="885" customFormat="1" ht="21" x14ac:dyDescent="0.4">
      <c r="A14" s="823"/>
      <c r="B14" s="129"/>
      <c r="C14" s="81"/>
      <c r="D14" s="959" t="s">
        <v>854</v>
      </c>
      <c r="E14" s="129" t="s">
        <v>670</v>
      </c>
      <c r="F14" s="903">
        <v>7.5</v>
      </c>
    </row>
    <row r="15" spans="1:6" s="885" customFormat="1" ht="21" x14ac:dyDescent="0.4">
      <c r="A15" s="823"/>
      <c r="B15" s="129"/>
      <c r="C15" s="81"/>
      <c r="D15" s="959" t="s">
        <v>855</v>
      </c>
      <c r="E15" s="129" t="s">
        <v>670</v>
      </c>
      <c r="F15" s="903">
        <v>7.5</v>
      </c>
    </row>
    <row r="16" spans="1:6" s="72" customFormat="1" ht="21" x14ac:dyDescent="0.25">
      <c r="A16" s="871" t="s">
        <v>852</v>
      </c>
      <c r="B16" s="73"/>
      <c r="C16" s="612"/>
      <c r="D16" s="73"/>
      <c r="E16" s="875"/>
      <c r="F16" s="623">
        <f>SUM(F17:F18)</f>
        <v>30</v>
      </c>
    </row>
    <row r="17" spans="1:6" s="72" customFormat="1" ht="21" x14ac:dyDescent="0.4">
      <c r="A17" s="823"/>
      <c r="B17" s="129"/>
      <c r="C17" s="87"/>
      <c r="D17" s="823" t="s">
        <v>857</v>
      </c>
      <c r="E17" s="129" t="s">
        <v>670</v>
      </c>
      <c r="F17" s="967">
        <v>15</v>
      </c>
    </row>
    <row r="18" spans="1:6" s="72" customFormat="1" ht="21" x14ac:dyDescent="0.4">
      <c r="A18" s="823"/>
      <c r="B18" s="129"/>
      <c r="C18" s="87"/>
      <c r="D18" s="823" t="s">
        <v>858</v>
      </c>
      <c r="E18" s="129" t="s">
        <v>670</v>
      </c>
      <c r="F18" s="967">
        <v>15</v>
      </c>
    </row>
    <row r="19" spans="1:6" x14ac:dyDescent="0.25">
      <c r="A19" s="286" t="s">
        <v>353</v>
      </c>
      <c r="B19" s="87"/>
      <c r="C19" s="94"/>
      <c r="D19" s="684"/>
      <c r="E19" s="684"/>
      <c r="F19" s="363">
        <f>SUM(F20:F21)</f>
        <v>15</v>
      </c>
    </row>
    <row r="20" spans="1:6" ht="21" x14ac:dyDescent="0.4">
      <c r="A20" s="823"/>
      <c r="B20" s="129"/>
      <c r="C20" s="87"/>
      <c r="D20" s="968" t="s">
        <v>826</v>
      </c>
      <c r="E20" s="451" t="s">
        <v>670</v>
      </c>
      <c r="F20" s="347">
        <v>7.5</v>
      </c>
    </row>
    <row r="21" spans="1:6" ht="21" x14ac:dyDescent="0.4">
      <c r="A21" s="823"/>
      <c r="B21" s="129"/>
      <c r="C21" s="87"/>
      <c r="D21" s="968" t="s">
        <v>827</v>
      </c>
      <c r="E21" s="451" t="s">
        <v>670</v>
      </c>
      <c r="F21" s="347">
        <v>7.5</v>
      </c>
    </row>
    <row r="22" spans="1:6" s="72" customFormat="1" x14ac:dyDescent="0.25">
      <c r="A22" s="286" t="s">
        <v>853</v>
      </c>
      <c r="B22" s="87"/>
      <c r="C22" s="286"/>
      <c r="D22" s="684"/>
      <c r="E22" s="684"/>
      <c r="F22" s="372">
        <f>SUM(F23:F24)</f>
        <v>15</v>
      </c>
    </row>
    <row r="23" spans="1:6" s="72" customFormat="1" ht="21" x14ac:dyDescent="0.4">
      <c r="A23" s="823"/>
      <c r="B23" s="129"/>
      <c r="C23" s="87"/>
      <c r="D23" s="959" t="s">
        <v>854</v>
      </c>
      <c r="E23" s="959" t="s">
        <v>854</v>
      </c>
      <c r="F23" s="347">
        <v>7.5</v>
      </c>
    </row>
    <row r="24" spans="1:6" s="72" customFormat="1" ht="21" x14ac:dyDescent="0.4">
      <c r="A24" s="823"/>
      <c r="B24" s="129"/>
      <c r="C24" s="87"/>
      <c r="D24" s="959" t="s">
        <v>855</v>
      </c>
      <c r="E24" s="959" t="s">
        <v>855</v>
      </c>
      <c r="F24" s="347">
        <v>7.5</v>
      </c>
    </row>
    <row r="25" spans="1:6" s="72" customFormat="1" ht="18" x14ac:dyDescent="0.25">
      <c r="A25" s="266" t="s">
        <v>320</v>
      </c>
      <c r="B25" s="92"/>
      <c r="C25" s="74"/>
      <c r="D25" s="829"/>
      <c r="E25" s="346"/>
      <c r="F25" s="829">
        <f>F2+F5+F9+F12+F16+F19+F22</f>
        <v>225</v>
      </c>
    </row>
    <row r="26" spans="1:6" s="72" customFormat="1" ht="18" x14ac:dyDescent="0.25">
      <c r="A26" s="266" t="s">
        <v>321</v>
      </c>
      <c r="B26" s="74"/>
      <c r="C26" s="74"/>
      <c r="D26" s="523"/>
      <c r="E26" s="346"/>
      <c r="F26" s="523">
        <f>F25/(15*35)</f>
        <v>0.42857142857142855</v>
      </c>
    </row>
    <row r="27" spans="1:6" s="72" customFormat="1" ht="18" x14ac:dyDescent="0.25">
      <c r="A27" s="266" t="s">
        <v>322</v>
      </c>
      <c r="B27" s="74"/>
      <c r="C27" s="74"/>
      <c r="D27" s="535">
        <f>F26</f>
        <v>0.42857142857142855</v>
      </c>
      <c r="E27" s="346"/>
      <c r="F27" s="337"/>
    </row>
  </sheetData>
  <pageMargins left="0.7" right="0.7" top="0.75" bottom="0.75" header="0.3" footer="0.3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0"/>
  <sheetViews>
    <sheetView topLeftCell="A49" workbookViewId="0">
      <selection activeCell="E12" sqref="E12"/>
    </sheetView>
  </sheetViews>
  <sheetFormatPr defaultRowHeight="13.8" x14ac:dyDescent="0.25"/>
  <cols>
    <col min="1" max="1" width="25.5" style="321" customWidth="1"/>
    <col min="2" max="2" width="10.3984375" style="456" customWidth="1"/>
    <col min="3" max="3" width="10.3984375" customWidth="1"/>
    <col min="4" max="4" width="13.796875" bestFit="1" customWidth="1"/>
    <col min="6" max="6" width="10.19921875" customWidth="1"/>
  </cols>
  <sheetData>
    <row r="1" spans="1:6" x14ac:dyDescent="0.25">
      <c r="A1" s="464"/>
      <c r="B1" s="465"/>
      <c r="C1" s="17" t="s">
        <v>512</v>
      </c>
      <c r="D1" s="9"/>
      <c r="E1" s="9"/>
      <c r="F1" s="8" t="s">
        <v>513</v>
      </c>
    </row>
    <row r="2" spans="1:6" ht="20.399999999999999" x14ac:dyDescent="0.25">
      <c r="A2" s="385" t="s">
        <v>257</v>
      </c>
      <c r="B2" s="27"/>
      <c r="C2" s="480">
        <f>SUM(C3:C5)</f>
        <v>76.5</v>
      </c>
      <c r="D2" s="13"/>
      <c r="E2" s="13"/>
      <c r="F2" s="24">
        <f>SUM(F3:F4)</f>
        <v>67.599999999999994</v>
      </c>
    </row>
    <row r="3" spans="1:6" ht="21" x14ac:dyDescent="0.25">
      <c r="A3" s="472" t="s">
        <v>539</v>
      </c>
      <c r="B3" s="450" t="s">
        <v>1</v>
      </c>
      <c r="C3" s="450">
        <v>9</v>
      </c>
      <c r="D3" s="11" t="s">
        <v>258</v>
      </c>
      <c r="E3" s="57" t="s">
        <v>2</v>
      </c>
      <c r="F3" s="850">
        <v>33.799999999999997</v>
      </c>
    </row>
    <row r="4" spans="1:6" ht="21" x14ac:dyDescent="0.25">
      <c r="A4" s="472" t="s">
        <v>365</v>
      </c>
      <c r="B4" s="451" t="s">
        <v>3</v>
      </c>
      <c r="C4" s="451">
        <v>45</v>
      </c>
      <c r="D4" s="11" t="s">
        <v>259</v>
      </c>
      <c r="E4" s="57" t="s">
        <v>2</v>
      </c>
      <c r="F4" s="850">
        <v>33.799999999999997</v>
      </c>
    </row>
    <row r="5" spans="1:6" ht="21" x14ac:dyDescent="0.25">
      <c r="A5" s="472" t="s">
        <v>540</v>
      </c>
      <c r="B5" s="451" t="s">
        <v>2</v>
      </c>
      <c r="C5" s="451">
        <v>22.5</v>
      </c>
      <c r="D5" s="11"/>
      <c r="E5" s="57"/>
      <c r="F5" s="850"/>
    </row>
    <row r="6" spans="1:6" ht="20.399999999999999" x14ac:dyDescent="0.25">
      <c r="A6" s="385" t="s">
        <v>260</v>
      </c>
      <c r="B6" s="24"/>
      <c r="C6" s="479">
        <f>SUM(C7)</f>
        <v>45</v>
      </c>
      <c r="D6" s="13"/>
      <c r="E6" s="13"/>
      <c r="F6" s="24">
        <f>SUM(F7:F10)</f>
        <v>91.25</v>
      </c>
    </row>
    <row r="7" spans="1:6" ht="21" x14ac:dyDescent="0.25">
      <c r="A7" s="472" t="s">
        <v>541</v>
      </c>
      <c r="B7" s="450" t="s">
        <v>3</v>
      </c>
      <c r="C7" s="451">
        <v>45</v>
      </c>
      <c r="D7" s="457" t="s">
        <v>593</v>
      </c>
      <c r="E7" s="57" t="s">
        <v>3</v>
      </c>
      <c r="F7" s="850">
        <v>21</v>
      </c>
    </row>
    <row r="8" spans="1:6" ht="21" x14ac:dyDescent="0.25">
      <c r="A8" s="851"/>
      <c r="B8" s="852"/>
      <c r="C8" s="13"/>
      <c r="D8" s="457" t="s">
        <v>261</v>
      </c>
      <c r="E8" s="57" t="s">
        <v>3</v>
      </c>
      <c r="F8" s="850">
        <v>14</v>
      </c>
    </row>
    <row r="9" spans="1:6" ht="21" x14ac:dyDescent="0.25">
      <c r="A9" s="851"/>
      <c r="B9" s="852"/>
      <c r="C9" s="13"/>
      <c r="D9" s="457" t="s">
        <v>262</v>
      </c>
      <c r="E9" s="57" t="s">
        <v>3</v>
      </c>
      <c r="F9" s="850">
        <v>45</v>
      </c>
    </row>
    <row r="10" spans="1:6" ht="21" x14ac:dyDescent="0.25">
      <c r="A10" s="851"/>
      <c r="B10" s="852"/>
      <c r="C10" s="13"/>
      <c r="D10" s="457" t="s">
        <v>594</v>
      </c>
      <c r="E10" s="57" t="s">
        <v>2</v>
      </c>
      <c r="F10" s="850">
        <v>11.25</v>
      </c>
    </row>
    <row r="11" spans="1:6" ht="20.399999999999999" x14ac:dyDescent="0.25">
      <c r="A11" s="385" t="s">
        <v>263</v>
      </c>
      <c r="B11" s="852"/>
      <c r="C11" s="30">
        <f>SUM(C12:C14)</f>
        <v>121.5</v>
      </c>
      <c r="D11" s="13"/>
      <c r="E11" s="13"/>
      <c r="F11" s="24">
        <f>SUM(F12:F17)</f>
        <v>155.25</v>
      </c>
    </row>
    <row r="12" spans="1:6" ht="21" x14ac:dyDescent="0.25">
      <c r="A12" s="472" t="s">
        <v>542</v>
      </c>
      <c r="B12" s="450" t="s">
        <v>3</v>
      </c>
      <c r="C12" s="53">
        <v>90</v>
      </c>
      <c r="D12" s="457" t="s">
        <v>595</v>
      </c>
      <c r="E12" s="116" t="s">
        <v>3</v>
      </c>
      <c r="F12" s="850">
        <v>30</v>
      </c>
    </row>
    <row r="13" spans="1:6" ht="21" x14ac:dyDescent="0.25">
      <c r="A13" s="472" t="s">
        <v>539</v>
      </c>
      <c r="B13" s="451" t="s">
        <v>1</v>
      </c>
      <c r="C13" s="53">
        <v>9</v>
      </c>
      <c r="D13" s="457" t="s">
        <v>595</v>
      </c>
      <c r="E13" s="520" t="s">
        <v>1</v>
      </c>
      <c r="F13" s="850">
        <v>15</v>
      </c>
    </row>
    <row r="14" spans="1:6" ht="21" x14ac:dyDescent="0.25">
      <c r="A14" s="472" t="s">
        <v>540</v>
      </c>
      <c r="B14" s="451" t="s">
        <v>2</v>
      </c>
      <c r="C14" s="53">
        <v>22.5</v>
      </c>
      <c r="D14" s="457" t="s">
        <v>596</v>
      </c>
      <c r="E14" s="520" t="s">
        <v>1</v>
      </c>
      <c r="F14" s="850">
        <v>9</v>
      </c>
    </row>
    <row r="15" spans="1:6" ht="21" x14ac:dyDescent="0.25">
      <c r="A15" s="851"/>
      <c r="B15" s="852"/>
      <c r="C15" s="13"/>
      <c r="D15" s="457" t="s">
        <v>597</v>
      </c>
      <c r="E15" s="520" t="s">
        <v>2</v>
      </c>
      <c r="F15" s="850">
        <v>33.75</v>
      </c>
    </row>
    <row r="16" spans="1:6" ht="21" x14ac:dyDescent="0.25">
      <c r="A16" s="851"/>
      <c r="B16" s="852"/>
      <c r="C16" s="13"/>
      <c r="D16" s="457" t="s">
        <v>598</v>
      </c>
      <c r="E16" s="520" t="s">
        <v>3</v>
      </c>
      <c r="F16" s="850">
        <v>45</v>
      </c>
    </row>
    <row r="17" spans="1:6" ht="21" x14ac:dyDescent="0.25">
      <c r="A17" s="851"/>
      <c r="B17" s="852"/>
      <c r="C17" s="13"/>
      <c r="D17" s="457" t="s">
        <v>599</v>
      </c>
      <c r="E17" s="520" t="s">
        <v>2</v>
      </c>
      <c r="F17" s="850">
        <v>22.5</v>
      </c>
    </row>
    <row r="18" spans="1:6" ht="20.399999999999999" x14ac:dyDescent="0.25">
      <c r="A18" s="385" t="s">
        <v>264</v>
      </c>
      <c r="B18" s="852"/>
      <c r="C18" s="325">
        <f>SUM(C19:C22)</f>
        <v>135</v>
      </c>
      <c r="D18" s="13"/>
      <c r="E18" s="13"/>
      <c r="F18" s="30">
        <f>SUM(F19:F22)</f>
        <v>129.75</v>
      </c>
    </row>
    <row r="19" spans="1:6" ht="21" x14ac:dyDescent="0.25">
      <c r="A19" s="472" t="s">
        <v>544</v>
      </c>
      <c r="B19" s="450" t="s">
        <v>3</v>
      </c>
      <c r="C19" s="53">
        <v>60</v>
      </c>
      <c r="D19" s="457" t="s">
        <v>544</v>
      </c>
      <c r="E19" s="116" t="s">
        <v>3</v>
      </c>
      <c r="F19" s="850">
        <v>60</v>
      </c>
    </row>
    <row r="20" spans="1:6" ht="21" x14ac:dyDescent="0.25">
      <c r="A20" s="472" t="s">
        <v>544</v>
      </c>
      <c r="B20" s="450" t="s">
        <v>1</v>
      </c>
      <c r="C20" s="53">
        <v>30</v>
      </c>
      <c r="D20" s="457" t="s">
        <v>544</v>
      </c>
      <c r="E20" s="116" t="s">
        <v>1</v>
      </c>
      <c r="F20" s="850">
        <v>30</v>
      </c>
    </row>
    <row r="21" spans="1:6" ht="21" x14ac:dyDescent="0.25">
      <c r="A21" s="472" t="s">
        <v>545</v>
      </c>
      <c r="B21" s="450" t="s">
        <v>2</v>
      </c>
      <c r="C21" s="53">
        <v>11.25</v>
      </c>
      <c r="D21" s="457" t="s">
        <v>601</v>
      </c>
      <c r="E21" s="116" t="s">
        <v>1</v>
      </c>
      <c r="F21" s="850">
        <v>6</v>
      </c>
    </row>
    <row r="22" spans="1:6" ht="21" x14ac:dyDescent="0.25">
      <c r="A22" s="472" t="s">
        <v>546</v>
      </c>
      <c r="B22" s="451" t="s">
        <v>2</v>
      </c>
      <c r="C22" s="53">
        <v>33.75</v>
      </c>
      <c r="D22" s="457" t="s">
        <v>597</v>
      </c>
      <c r="E22" s="116" t="s">
        <v>2</v>
      </c>
      <c r="F22" s="850">
        <v>33.75</v>
      </c>
    </row>
    <row r="23" spans="1:6" ht="20.399999999999999" x14ac:dyDescent="0.25">
      <c r="A23" s="385" t="s">
        <v>265</v>
      </c>
      <c r="B23" s="852"/>
      <c r="C23" s="325">
        <f>SUM(C24:C27)</f>
        <v>85.5</v>
      </c>
      <c r="D23" s="13"/>
      <c r="E23" s="13"/>
      <c r="F23" s="30">
        <f>SUM(F24:F29)</f>
        <v>240</v>
      </c>
    </row>
    <row r="24" spans="1:6" ht="21" x14ac:dyDescent="0.25">
      <c r="A24" s="472" t="s">
        <v>547</v>
      </c>
      <c r="B24" s="450" t="s">
        <v>3</v>
      </c>
      <c r="C24" s="53">
        <v>24</v>
      </c>
      <c r="D24" s="457" t="s">
        <v>602</v>
      </c>
      <c r="E24" s="116" t="s">
        <v>3</v>
      </c>
      <c r="F24" s="850">
        <v>45</v>
      </c>
    </row>
    <row r="25" spans="1:6" ht="21" x14ac:dyDescent="0.25">
      <c r="A25" s="472" t="s">
        <v>548</v>
      </c>
      <c r="B25" s="450" t="s">
        <v>3</v>
      </c>
      <c r="C25" s="53">
        <v>24</v>
      </c>
      <c r="D25" s="457" t="s">
        <v>596</v>
      </c>
      <c r="E25" s="116" t="s">
        <v>1</v>
      </c>
      <c r="F25" s="850">
        <v>15</v>
      </c>
    </row>
    <row r="26" spans="1:6" ht="21" x14ac:dyDescent="0.25">
      <c r="A26" s="472" t="s">
        <v>549</v>
      </c>
      <c r="B26" s="451" t="s">
        <v>1</v>
      </c>
      <c r="C26" s="53">
        <v>13.5</v>
      </c>
      <c r="D26" s="457" t="s">
        <v>603</v>
      </c>
      <c r="E26" s="116" t="s">
        <v>3</v>
      </c>
      <c r="F26" s="850">
        <v>45</v>
      </c>
    </row>
    <row r="27" spans="1:6" ht="21" x14ac:dyDescent="0.25">
      <c r="A27" s="472" t="s">
        <v>550</v>
      </c>
      <c r="B27" s="451" t="s">
        <v>2</v>
      </c>
      <c r="C27" s="53">
        <v>24</v>
      </c>
      <c r="D27" s="457" t="s">
        <v>266</v>
      </c>
      <c r="E27" s="116" t="s">
        <v>3</v>
      </c>
      <c r="F27" s="850">
        <v>45</v>
      </c>
    </row>
    <row r="28" spans="1:6" ht="21" x14ac:dyDescent="0.25">
      <c r="A28" s="851"/>
      <c r="B28" s="852"/>
      <c r="C28" s="13"/>
      <c r="D28" s="457" t="s">
        <v>604</v>
      </c>
      <c r="E28" s="116" t="s">
        <v>2</v>
      </c>
      <c r="F28" s="850">
        <v>45</v>
      </c>
    </row>
    <row r="29" spans="1:6" ht="21" x14ac:dyDescent="0.25">
      <c r="A29" s="851"/>
      <c r="B29" s="852"/>
      <c r="C29" s="13"/>
      <c r="D29" s="457" t="s">
        <v>605</v>
      </c>
      <c r="E29" s="520" t="s">
        <v>2</v>
      </c>
      <c r="F29" s="850">
        <v>45</v>
      </c>
    </row>
    <row r="30" spans="1:6" ht="20.399999999999999" x14ac:dyDescent="0.25">
      <c r="A30" s="385" t="s">
        <v>268</v>
      </c>
      <c r="B30" s="852"/>
      <c r="C30" s="30">
        <f>SUM(C31:C35)</f>
        <v>204.75</v>
      </c>
      <c r="D30" s="13"/>
      <c r="E30" s="13"/>
      <c r="F30" s="30">
        <f>SUM(F31:F36)</f>
        <v>214.5</v>
      </c>
    </row>
    <row r="31" spans="1:6" ht="21" x14ac:dyDescent="0.25">
      <c r="A31" s="472" t="s">
        <v>551</v>
      </c>
      <c r="B31" s="450" t="s">
        <v>3</v>
      </c>
      <c r="C31" s="53">
        <v>90</v>
      </c>
      <c r="D31" s="457" t="s">
        <v>269</v>
      </c>
      <c r="E31" s="116" t="s">
        <v>3</v>
      </c>
      <c r="F31" s="850">
        <v>45</v>
      </c>
    </row>
    <row r="32" spans="1:6" ht="21" x14ac:dyDescent="0.25">
      <c r="A32" s="472" t="s">
        <v>549</v>
      </c>
      <c r="B32" s="450" t="s">
        <v>1</v>
      </c>
      <c r="C32" s="53">
        <v>36</v>
      </c>
      <c r="D32" s="457" t="s">
        <v>596</v>
      </c>
      <c r="E32" s="116" t="s">
        <v>1</v>
      </c>
      <c r="F32" s="850">
        <v>12</v>
      </c>
    </row>
    <row r="33" spans="1:6" ht="21" x14ac:dyDescent="0.25">
      <c r="A33" s="472" t="s">
        <v>269</v>
      </c>
      <c r="B33" s="451" t="s">
        <v>3</v>
      </c>
      <c r="C33" s="53">
        <v>45</v>
      </c>
      <c r="D33" s="457" t="s">
        <v>606</v>
      </c>
      <c r="E33" s="520" t="s">
        <v>3</v>
      </c>
      <c r="F33" s="850">
        <v>45</v>
      </c>
    </row>
    <row r="34" spans="1:6" ht="21" x14ac:dyDescent="0.25">
      <c r="A34" s="472" t="s">
        <v>540</v>
      </c>
      <c r="B34" s="451" t="s">
        <v>2</v>
      </c>
      <c r="C34" s="53">
        <v>22.5</v>
      </c>
      <c r="D34" s="457" t="s">
        <v>597</v>
      </c>
      <c r="E34" s="520" t="s">
        <v>2</v>
      </c>
      <c r="F34" s="850">
        <v>33.75</v>
      </c>
    </row>
    <row r="35" spans="1:6" ht="21" x14ac:dyDescent="0.25">
      <c r="A35" s="472" t="s">
        <v>552</v>
      </c>
      <c r="B35" s="450" t="s">
        <v>2</v>
      </c>
      <c r="C35" s="53">
        <v>11.25</v>
      </c>
      <c r="D35" s="457" t="s">
        <v>270</v>
      </c>
      <c r="E35" s="520" t="s">
        <v>3</v>
      </c>
      <c r="F35" s="850">
        <v>45</v>
      </c>
    </row>
    <row r="36" spans="1:6" ht="21" x14ac:dyDescent="0.25">
      <c r="A36" s="851"/>
      <c r="B36" s="852"/>
      <c r="C36" s="13"/>
      <c r="D36" s="457" t="s">
        <v>607</v>
      </c>
      <c r="E36" s="116" t="s">
        <v>2</v>
      </c>
      <c r="F36" s="850">
        <v>33.75</v>
      </c>
    </row>
    <row r="37" spans="1:6" ht="20.399999999999999" x14ac:dyDescent="0.25">
      <c r="A37" s="385" t="s">
        <v>267</v>
      </c>
      <c r="B37" s="852"/>
      <c r="C37" s="325">
        <f>SUM(C38:C41)</f>
        <v>100.5</v>
      </c>
      <c r="D37" s="13"/>
      <c r="E37" s="13"/>
      <c r="F37" s="30">
        <f>SUM(F38:F42)</f>
        <v>129.75</v>
      </c>
    </row>
    <row r="38" spans="1:6" ht="21" x14ac:dyDescent="0.25">
      <c r="A38" s="472" t="s">
        <v>553</v>
      </c>
      <c r="B38" s="450" t="s">
        <v>3</v>
      </c>
      <c r="C38" s="53">
        <v>45</v>
      </c>
      <c r="D38" s="457" t="s">
        <v>285</v>
      </c>
      <c r="E38" s="116" t="s">
        <v>3</v>
      </c>
      <c r="F38" s="850">
        <v>45</v>
      </c>
    </row>
    <row r="39" spans="1:6" ht="21" x14ac:dyDescent="0.25">
      <c r="A39" s="472" t="s">
        <v>549</v>
      </c>
      <c r="B39" s="450" t="s">
        <v>1</v>
      </c>
      <c r="C39" s="53">
        <v>4.5</v>
      </c>
      <c r="D39" s="457" t="s">
        <v>596</v>
      </c>
      <c r="E39" s="116" t="s">
        <v>1</v>
      </c>
      <c r="F39" s="850">
        <v>6</v>
      </c>
    </row>
    <row r="40" spans="1:6" ht="21" x14ac:dyDescent="0.25">
      <c r="A40" s="472" t="s">
        <v>554</v>
      </c>
      <c r="B40" s="451" t="s">
        <v>2</v>
      </c>
      <c r="C40" s="53">
        <v>17.25</v>
      </c>
      <c r="D40" s="457" t="s">
        <v>597</v>
      </c>
      <c r="E40" s="520" t="s">
        <v>2</v>
      </c>
      <c r="F40" s="850">
        <v>33.75</v>
      </c>
    </row>
    <row r="41" spans="1:6" ht="21" x14ac:dyDescent="0.25">
      <c r="A41" s="472" t="s">
        <v>546</v>
      </c>
      <c r="B41" s="451" t="s">
        <v>2</v>
      </c>
      <c r="C41" s="53">
        <v>33.75</v>
      </c>
      <c r="D41" s="457" t="s">
        <v>575</v>
      </c>
      <c r="E41" s="520" t="s">
        <v>2</v>
      </c>
      <c r="F41" s="850">
        <v>11.25</v>
      </c>
    </row>
    <row r="42" spans="1:6" ht="21" x14ac:dyDescent="0.25">
      <c r="A42" s="851"/>
      <c r="B42" s="852"/>
      <c r="C42" s="13"/>
      <c r="D42" s="457" t="s">
        <v>607</v>
      </c>
      <c r="E42" s="520" t="s">
        <v>2</v>
      </c>
      <c r="F42" s="850">
        <v>33.75</v>
      </c>
    </row>
    <row r="43" spans="1:6" ht="20.399999999999999" x14ac:dyDescent="0.25">
      <c r="A43" s="385" t="s">
        <v>271</v>
      </c>
      <c r="B43" s="852"/>
      <c r="C43" s="30">
        <f>SUM(C44:C50)</f>
        <v>100.5</v>
      </c>
      <c r="D43" s="13"/>
      <c r="E43" s="13"/>
      <c r="F43" s="30">
        <f>SUM(F44:F50)</f>
        <v>174.75</v>
      </c>
    </row>
    <row r="44" spans="1:6" ht="21" x14ac:dyDescent="0.25">
      <c r="A44" s="472" t="s">
        <v>556</v>
      </c>
      <c r="B44" s="450" t="s">
        <v>3</v>
      </c>
      <c r="C44" s="53">
        <v>32</v>
      </c>
      <c r="D44" s="457" t="s">
        <v>608</v>
      </c>
      <c r="E44" s="116" t="s">
        <v>1</v>
      </c>
      <c r="F44" s="850">
        <v>6</v>
      </c>
    </row>
    <row r="45" spans="1:6" ht="21" x14ac:dyDescent="0.25">
      <c r="A45" s="472" t="s">
        <v>556</v>
      </c>
      <c r="B45" s="450" t="s">
        <v>1</v>
      </c>
      <c r="C45" s="53">
        <v>16</v>
      </c>
      <c r="D45" s="457" t="s">
        <v>609</v>
      </c>
      <c r="E45" s="116" t="s">
        <v>3</v>
      </c>
      <c r="F45" s="850">
        <v>30</v>
      </c>
    </row>
    <row r="46" spans="1:6" ht="21" x14ac:dyDescent="0.25">
      <c r="A46" s="472" t="s">
        <v>557</v>
      </c>
      <c r="B46" s="451" t="s">
        <v>1</v>
      </c>
      <c r="C46" s="53">
        <v>4.5</v>
      </c>
      <c r="D46" s="457" t="s">
        <v>609</v>
      </c>
      <c r="E46" s="520" t="s">
        <v>1</v>
      </c>
      <c r="F46" s="850">
        <v>15</v>
      </c>
    </row>
    <row r="47" spans="1:6" ht="21" x14ac:dyDescent="0.25">
      <c r="A47" s="472" t="s">
        <v>550</v>
      </c>
      <c r="B47" s="451" t="s">
        <v>2</v>
      </c>
      <c r="C47" s="53">
        <v>24</v>
      </c>
      <c r="D47" s="457" t="s">
        <v>610</v>
      </c>
      <c r="E47" s="520" t="s">
        <v>3</v>
      </c>
      <c r="F47" s="850">
        <v>30</v>
      </c>
    </row>
    <row r="48" spans="1:6" ht="21" x14ac:dyDescent="0.25">
      <c r="A48" s="472" t="s">
        <v>558</v>
      </c>
      <c r="B48" s="451" t="s">
        <v>3</v>
      </c>
      <c r="C48" s="53">
        <v>24</v>
      </c>
      <c r="D48" s="457" t="s">
        <v>610</v>
      </c>
      <c r="E48" s="520" t="s">
        <v>1</v>
      </c>
      <c r="F48" s="850">
        <v>15</v>
      </c>
    </row>
    <row r="49" spans="1:6" ht="21" x14ac:dyDescent="0.25">
      <c r="A49" s="851"/>
      <c r="B49" s="852"/>
      <c r="C49" s="13"/>
      <c r="D49" s="457" t="s">
        <v>597</v>
      </c>
      <c r="E49" s="520" t="s">
        <v>2</v>
      </c>
      <c r="F49" s="850">
        <v>33.75</v>
      </c>
    </row>
    <row r="50" spans="1:6" ht="21" x14ac:dyDescent="0.25">
      <c r="A50" s="851"/>
      <c r="B50" s="852"/>
      <c r="C50" s="13"/>
      <c r="D50" s="457" t="s">
        <v>605</v>
      </c>
      <c r="E50" s="520" t="s">
        <v>2</v>
      </c>
      <c r="F50" s="850">
        <v>45</v>
      </c>
    </row>
    <row r="51" spans="1:6" ht="20.399999999999999" x14ac:dyDescent="0.25">
      <c r="A51" s="385" t="s">
        <v>273</v>
      </c>
      <c r="B51" s="852"/>
      <c r="C51" s="325">
        <f>SUM(C52:C54)</f>
        <v>69</v>
      </c>
      <c r="D51" s="13"/>
      <c r="E51" s="13"/>
      <c r="F51" s="30">
        <f>SUM(F52:F54)</f>
        <v>168.75</v>
      </c>
    </row>
    <row r="52" spans="1:6" ht="21" x14ac:dyDescent="0.25">
      <c r="A52" s="472" t="s">
        <v>539</v>
      </c>
      <c r="B52" s="450" t="s">
        <v>1</v>
      </c>
      <c r="C52" s="53">
        <v>9</v>
      </c>
      <c r="D52" s="457" t="s">
        <v>597</v>
      </c>
      <c r="E52" s="116" t="s">
        <v>2</v>
      </c>
      <c r="F52" s="850">
        <v>33.75</v>
      </c>
    </row>
    <row r="53" spans="1:6" ht="21" x14ac:dyDescent="0.25">
      <c r="A53" s="472" t="s">
        <v>559</v>
      </c>
      <c r="B53" s="450" t="s">
        <v>3</v>
      </c>
      <c r="C53" s="53">
        <v>15</v>
      </c>
      <c r="D53" s="457" t="s">
        <v>611</v>
      </c>
      <c r="E53" s="116" t="s">
        <v>2</v>
      </c>
      <c r="F53" s="850">
        <v>90</v>
      </c>
    </row>
    <row r="54" spans="1:6" ht="21" x14ac:dyDescent="0.25">
      <c r="A54" s="472" t="s">
        <v>550</v>
      </c>
      <c r="B54" s="451" t="s">
        <v>2</v>
      </c>
      <c r="C54" s="53">
        <v>45</v>
      </c>
      <c r="D54" s="457" t="s">
        <v>274</v>
      </c>
      <c r="E54" s="520" t="s">
        <v>3</v>
      </c>
      <c r="F54" s="850">
        <v>45</v>
      </c>
    </row>
    <row r="55" spans="1:6" ht="20.399999999999999" x14ac:dyDescent="0.25">
      <c r="A55" s="385" t="s">
        <v>275</v>
      </c>
      <c r="B55" s="852"/>
      <c r="C55" s="325">
        <f>SUM(C56:C61)</f>
        <v>180</v>
      </c>
      <c r="D55" s="13"/>
      <c r="E55" s="13"/>
      <c r="F55" s="30">
        <f>SUM(F56:F61)</f>
        <v>171.75</v>
      </c>
    </row>
    <row r="56" spans="1:6" ht="21" x14ac:dyDescent="0.25">
      <c r="A56" s="472" t="s">
        <v>549</v>
      </c>
      <c r="B56" s="450" t="s">
        <v>1</v>
      </c>
      <c r="C56" s="53">
        <v>36</v>
      </c>
      <c r="D56" s="457" t="s">
        <v>596</v>
      </c>
      <c r="E56" s="116" t="s">
        <v>1</v>
      </c>
      <c r="F56" s="850">
        <v>6</v>
      </c>
    </row>
    <row r="57" spans="1:6" ht="21" x14ac:dyDescent="0.25">
      <c r="A57" s="472" t="s">
        <v>539</v>
      </c>
      <c r="B57" s="450" t="s">
        <v>1</v>
      </c>
      <c r="C57" s="53">
        <v>9</v>
      </c>
      <c r="D57" s="457" t="s">
        <v>601</v>
      </c>
      <c r="E57" s="116" t="s">
        <v>1</v>
      </c>
      <c r="F57" s="850">
        <v>18</v>
      </c>
    </row>
    <row r="58" spans="1:6" ht="21" x14ac:dyDescent="0.25">
      <c r="A58" s="472" t="s">
        <v>562</v>
      </c>
      <c r="B58" s="450" t="s">
        <v>3</v>
      </c>
      <c r="C58" s="53">
        <v>45</v>
      </c>
      <c r="D58" s="457" t="s">
        <v>571</v>
      </c>
      <c r="E58" s="116" t="s">
        <v>3</v>
      </c>
      <c r="F58" s="850">
        <v>24</v>
      </c>
    </row>
    <row r="59" spans="1:6" ht="21" x14ac:dyDescent="0.25">
      <c r="A59" s="472" t="s">
        <v>563</v>
      </c>
      <c r="B59" s="451" t="s">
        <v>3</v>
      </c>
      <c r="C59" s="53">
        <v>45</v>
      </c>
      <c r="D59" s="457" t="s">
        <v>612</v>
      </c>
      <c r="E59" s="116" t="s">
        <v>2</v>
      </c>
      <c r="F59" s="850">
        <v>22.5</v>
      </c>
    </row>
    <row r="60" spans="1:6" ht="21" x14ac:dyDescent="0.25">
      <c r="A60" s="472" t="s">
        <v>550</v>
      </c>
      <c r="B60" s="451" t="s">
        <v>2</v>
      </c>
      <c r="C60" s="53">
        <v>45</v>
      </c>
      <c r="D60" s="457" t="s">
        <v>276</v>
      </c>
      <c r="E60" s="520" t="s">
        <v>3</v>
      </c>
      <c r="F60" s="850">
        <v>45</v>
      </c>
    </row>
    <row r="61" spans="1:6" ht="21" x14ac:dyDescent="0.25">
      <c r="A61" s="851"/>
      <c r="B61" s="852"/>
      <c r="C61" s="13"/>
      <c r="D61" s="457" t="s">
        <v>613</v>
      </c>
      <c r="E61" s="520" t="s">
        <v>2</v>
      </c>
      <c r="F61" s="850">
        <v>56.25</v>
      </c>
    </row>
    <row r="62" spans="1:6" ht="20.399999999999999" x14ac:dyDescent="0.25">
      <c r="A62" s="385" t="s">
        <v>277</v>
      </c>
      <c r="B62" s="852"/>
      <c r="C62" s="480">
        <f>SUM(C63:C67)</f>
        <v>134.25</v>
      </c>
      <c r="D62" s="13"/>
      <c r="E62" s="13"/>
      <c r="F62" s="30">
        <f>SUM(F63:F67)</f>
        <v>219.75</v>
      </c>
    </row>
    <row r="63" spans="1:6" ht="21" x14ac:dyDescent="0.25">
      <c r="A63" s="853" t="s">
        <v>564</v>
      </c>
      <c r="B63" s="450" t="s">
        <v>1</v>
      </c>
      <c r="C63" s="53">
        <v>9</v>
      </c>
      <c r="D63" s="457" t="s">
        <v>601</v>
      </c>
      <c r="E63" s="116" t="s">
        <v>1</v>
      </c>
      <c r="F63" s="850">
        <v>6</v>
      </c>
    </row>
    <row r="64" spans="1:6" ht="21" x14ac:dyDescent="0.25">
      <c r="A64" s="853" t="s">
        <v>565</v>
      </c>
      <c r="B64" s="450" t="s">
        <v>2</v>
      </c>
      <c r="C64" s="53">
        <v>56.25</v>
      </c>
      <c r="D64" s="457" t="s">
        <v>597</v>
      </c>
      <c r="E64" s="116" t="s">
        <v>2</v>
      </c>
      <c r="F64" s="850">
        <v>33.75</v>
      </c>
    </row>
    <row r="65" spans="1:6" ht="21" x14ac:dyDescent="0.25">
      <c r="A65" s="853" t="s">
        <v>367</v>
      </c>
      <c r="B65" s="450" t="s">
        <v>3</v>
      </c>
      <c r="C65" s="53">
        <v>45</v>
      </c>
      <c r="D65" s="457" t="s">
        <v>278</v>
      </c>
      <c r="E65" s="116" t="s">
        <v>3</v>
      </c>
      <c r="F65" s="850">
        <v>45</v>
      </c>
    </row>
    <row r="66" spans="1:6" ht="21" x14ac:dyDescent="0.25">
      <c r="A66" s="853" t="s">
        <v>279</v>
      </c>
      <c r="B66" s="451" t="s">
        <v>3</v>
      </c>
      <c r="C66" s="53">
        <v>24</v>
      </c>
      <c r="D66" s="457" t="s">
        <v>611</v>
      </c>
      <c r="E66" s="520" t="s">
        <v>2</v>
      </c>
      <c r="F66" s="850">
        <v>90</v>
      </c>
    </row>
    <row r="67" spans="1:6" ht="21" x14ac:dyDescent="0.25">
      <c r="A67" s="851"/>
      <c r="B67" s="852"/>
      <c r="C67" s="13"/>
      <c r="D67" s="457" t="s">
        <v>279</v>
      </c>
      <c r="E67" s="520" t="s">
        <v>3</v>
      </c>
      <c r="F67" s="850">
        <v>45</v>
      </c>
    </row>
    <row r="68" spans="1:6" ht="20.399999999999999" x14ac:dyDescent="0.25">
      <c r="A68" s="385" t="s">
        <v>280</v>
      </c>
      <c r="B68" s="852"/>
      <c r="C68" s="325">
        <f>SUM(C69)</f>
        <v>60</v>
      </c>
      <c r="D68" s="13"/>
      <c r="E68" s="13"/>
      <c r="F68" s="30">
        <f>SUM(F69:F72)</f>
        <v>130</v>
      </c>
    </row>
    <row r="69" spans="1:6" ht="21" x14ac:dyDescent="0.25">
      <c r="A69" s="472" t="s">
        <v>567</v>
      </c>
      <c r="B69" s="450" t="s">
        <v>3</v>
      </c>
      <c r="C69" s="53">
        <v>60</v>
      </c>
      <c r="D69" s="457" t="s">
        <v>593</v>
      </c>
      <c r="E69" s="116" t="s">
        <v>3</v>
      </c>
      <c r="F69" s="850">
        <v>24</v>
      </c>
    </row>
    <row r="70" spans="1:6" ht="21" x14ac:dyDescent="0.25">
      <c r="A70" s="851"/>
      <c r="B70" s="852"/>
      <c r="C70" s="13"/>
      <c r="D70" s="457" t="s">
        <v>261</v>
      </c>
      <c r="E70" s="116" t="s">
        <v>3</v>
      </c>
      <c r="F70" s="850">
        <v>16</v>
      </c>
    </row>
    <row r="71" spans="1:6" ht="21" x14ac:dyDescent="0.25">
      <c r="A71" s="851"/>
      <c r="B71" s="852"/>
      <c r="C71" s="13"/>
      <c r="D71" s="457" t="s">
        <v>604</v>
      </c>
      <c r="E71" s="116" t="s">
        <v>2</v>
      </c>
      <c r="F71" s="850">
        <v>45</v>
      </c>
    </row>
    <row r="72" spans="1:6" ht="21" x14ac:dyDescent="0.25">
      <c r="A72" s="851"/>
      <c r="B72" s="852"/>
      <c r="C72" s="13"/>
      <c r="D72" s="457" t="s">
        <v>281</v>
      </c>
      <c r="E72" s="116" t="s">
        <v>3</v>
      </c>
      <c r="F72" s="850">
        <v>45</v>
      </c>
    </row>
    <row r="73" spans="1:6" ht="20.399999999999999" x14ac:dyDescent="0.25">
      <c r="A73" s="385" t="s">
        <v>282</v>
      </c>
      <c r="B73" s="852"/>
      <c r="C73" s="325">
        <f>SUM(C74:C76)</f>
        <v>108.75</v>
      </c>
      <c r="D73" s="13"/>
      <c r="E73" s="13"/>
      <c r="F73" s="30">
        <f>SUM(F74:F79)</f>
        <v>134.25</v>
      </c>
    </row>
    <row r="74" spans="1:6" ht="21" x14ac:dyDescent="0.25">
      <c r="A74" s="472" t="s">
        <v>368</v>
      </c>
      <c r="B74" s="450" t="s">
        <v>3</v>
      </c>
      <c r="C74" s="53">
        <v>30</v>
      </c>
      <c r="D74" s="457" t="s">
        <v>614</v>
      </c>
      <c r="E74" s="116" t="s">
        <v>3</v>
      </c>
      <c r="F74" s="850">
        <v>30</v>
      </c>
    </row>
    <row r="75" spans="1:6" ht="21" x14ac:dyDescent="0.25">
      <c r="A75" s="472" t="s">
        <v>366</v>
      </c>
      <c r="B75" s="450" t="s">
        <v>3</v>
      </c>
      <c r="C75" s="53">
        <v>45</v>
      </c>
      <c r="D75" s="457" t="s">
        <v>614</v>
      </c>
      <c r="E75" s="116" t="s">
        <v>1</v>
      </c>
      <c r="F75" s="850">
        <v>15</v>
      </c>
    </row>
    <row r="76" spans="1:6" ht="21" x14ac:dyDescent="0.25">
      <c r="A76" s="472" t="s">
        <v>546</v>
      </c>
      <c r="B76" s="451" t="s">
        <v>2</v>
      </c>
      <c r="C76" s="53">
        <v>33.75</v>
      </c>
      <c r="D76" s="457" t="s">
        <v>608</v>
      </c>
      <c r="E76" s="116" t="s">
        <v>1</v>
      </c>
      <c r="F76" s="850">
        <v>3</v>
      </c>
    </row>
    <row r="77" spans="1:6" ht="21" x14ac:dyDescent="0.25">
      <c r="A77" s="851"/>
      <c r="B77" s="852"/>
      <c r="C77" s="13"/>
      <c r="D77" s="457" t="s">
        <v>612</v>
      </c>
      <c r="E77" s="116" t="s">
        <v>2</v>
      </c>
      <c r="F77" s="850">
        <v>22.5</v>
      </c>
    </row>
    <row r="78" spans="1:6" ht="21" x14ac:dyDescent="0.25">
      <c r="A78" s="851"/>
      <c r="B78" s="852"/>
      <c r="C78" s="13"/>
      <c r="D78" s="457" t="s">
        <v>283</v>
      </c>
      <c r="E78" s="116" t="s">
        <v>3</v>
      </c>
      <c r="F78" s="850">
        <v>30</v>
      </c>
    </row>
    <row r="79" spans="1:6" ht="21" x14ac:dyDescent="0.25">
      <c r="A79" s="851"/>
      <c r="B79" s="852"/>
      <c r="C79" s="13"/>
      <c r="D79" s="457" t="s">
        <v>607</v>
      </c>
      <c r="E79" s="520" t="s">
        <v>2</v>
      </c>
      <c r="F79" s="850">
        <v>33.75</v>
      </c>
    </row>
    <row r="80" spans="1:6" ht="21" x14ac:dyDescent="0.25">
      <c r="A80" s="448" t="s">
        <v>569</v>
      </c>
      <c r="B80" s="11"/>
      <c r="C80" s="480">
        <f>SUM(C81:C87)</f>
        <v>246</v>
      </c>
      <c r="D80" s="13"/>
      <c r="E80" s="13"/>
      <c r="F80" s="30">
        <f>SUM(F81:F87)</f>
        <v>216.75</v>
      </c>
    </row>
    <row r="81" spans="1:6" ht="21" x14ac:dyDescent="0.25">
      <c r="A81" s="472" t="s">
        <v>549</v>
      </c>
      <c r="B81" s="450" t="s">
        <v>1</v>
      </c>
      <c r="C81" s="53">
        <v>36</v>
      </c>
      <c r="D81" s="457" t="s">
        <v>596</v>
      </c>
      <c r="E81" s="116" t="s">
        <v>1</v>
      </c>
      <c r="F81" s="850">
        <v>9</v>
      </c>
    </row>
    <row r="82" spans="1:6" ht="21" x14ac:dyDescent="0.25">
      <c r="A82" s="472" t="s">
        <v>570</v>
      </c>
      <c r="B82" s="450" t="s">
        <v>3</v>
      </c>
      <c r="C82" s="53">
        <v>45</v>
      </c>
      <c r="D82" s="457" t="s">
        <v>571</v>
      </c>
      <c r="E82" s="116" t="s">
        <v>3</v>
      </c>
      <c r="F82" s="850">
        <v>21</v>
      </c>
    </row>
    <row r="83" spans="1:6" ht="21" x14ac:dyDescent="0.25">
      <c r="A83" s="472" t="s">
        <v>571</v>
      </c>
      <c r="B83" s="450" t="s">
        <v>3</v>
      </c>
      <c r="C83" s="53">
        <v>21</v>
      </c>
      <c r="D83" s="457" t="s">
        <v>601</v>
      </c>
      <c r="E83" s="116" t="s">
        <v>1</v>
      </c>
      <c r="F83" s="850">
        <v>18</v>
      </c>
    </row>
    <row r="84" spans="1:6" ht="21" x14ac:dyDescent="0.25">
      <c r="A84" s="472" t="s">
        <v>539</v>
      </c>
      <c r="B84" s="450" t="s">
        <v>1</v>
      </c>
      <c r="C84" s="53">
        <v>9</v>
      </c>
      <c r="D84" s="457" t="s">
        <v>597</v>
      </c>
      <c r="E84" s="116" t="s">
        <v>2</v>
      </c>
      <c r="F84" s="850">
        <v>33.75</v>
      </c>
    </row>
    <row r="85" spans="1:6" ht="21" x14ac:dyDescent="0.25">
      <c r="A85" s="472" t="s">
        <v>572</v>
      </c>
      <c r="B85" s="450" t="s">
        <v>3</v>
      </c>
      <c r="C85" s="53">
        <v>45</v>
      </c>
      <c r="D85" s="457" t="s">
        <v>617</v>
      </c>
      <c r="E85" s="116" t="s">
        <v>3</v>
      </c>
      <c r="F85" s="850">
        <v>45</v>
      </c>
    </row>
    <row r="86" spans="1:6" ht="21" x14ac:dyDescent="0.25">
      <c r="A86" s="472" t="s">
        <v>550</v>
      </c>
      <c r="B86" s="451" t="s">
        <v>2</v>
      </c>
      <c r="C86" s="53">
        <v>45</v>
      </c>
      <c r="D86" s="457" t="s">
        <v>605</v>
      </c>
      <c r="E86" s="116" t="s">
        <v>2</v>
      </c>
      <c r="F86" s="850">
        <v>45</v>
      </c>
    </row>
    <row r="87" spans="1:6" ht="21" x14ac:dyDescent="0.25">
      <c r="A87" s="472" t="s">
        <v>573</v>
      </c>
      <c r="B87" s="451" t="s">
        <v>3</v>
      </c>
      <c r="C87" s="53">
        <v>45</v>
      </c>
      <c r="D87" s="457" t="s">
        <v>618</v>
      </c>
      <c r="E87" s="520" t="s">
        <v>3</v>
      </c>
      <c r="F87" s="850">
        <v>45</v>
      </c>
    </row>
    <row r="88" spans="1:6" ht="20.399999999999999" x14ac:dyDescent="0.25">
      <c r="A88" s="385" t="s">
        <v>284</v>
      </c>
      <c r="B88" s="852"/>
      <c r="C88" s="325">
        <f>SUM(C89:C93)</f>
        <v>120</v>
      </c>
      <c r="D88" s="13"/>
      <c r="E88" s="13"/>
      <c r="F88" s="30">
        <f>SUM(F89:F93)</f>
        <v>187.5</v>
      </c>
    </row>
    <row r="89" spans="1:6" ht="21" x14ac:dyDescent="0.25">
      <c r="A89" s="472" t="s">
        <v>582</v>
      </c>
      <c r="B89" s="450" t="s">
        <v>3</v>
      </c>
      <c r="C89" s="53">
        <v>45</v>
      </c>
      <c r="D89" s="457" t="s">
        <v>624</v>
      </c>
      <c r="E89" s="116" t="s">
        <v>3</v>
      </c>
      <c r="F89" s="850">
        <v>90</v>
      </c>
    </row>
    <row r="90" spans="1:6" ht="21" x14ac:dyDescent="0.25">
      <c r="A90" s="472" t="s">
        <v>286</v>
      </c>
      <c r="B90" s="450" t="s">
        <v>3</v>
      </c>
      <c r="C90" s="53">
        <v>30</v>
      </c>
      <c r="D90" s="457" t="s">
        <v>286</v>
      </c>
      <c r="E90" s="116" t="s">
        <v>3</v>
      </c>
      <c r="F90" s="850">
        <v>30</v>
      </c>
    </row>
    <row r="91" spans="1:6" ht="21" x14ac:dyDescent="0.25">
      <c r="A91" s="472" t="s">
        <v>369</v>
      </c>
      <c r="B91" s="450" t="s">
        <v>3</v>
      </c>
      <c r="C91" s="53">
        <v>45</v>
      </c>
      <c r="D91" s="457" t="s">
        <v>594</v>
      </c>
      <c r="E91" s="116" t="s">
        <v>2</v>
      </c>
      <c r="F91" s="850">
        <v>11.25</v>
      </c>
    </row>
    <row r="92" spans="1:6" ht="21" x14ac:dyDescent="0.25">
      <c r="A92" s="851"/>
      <c r="B92" s="852"/>
      <c r="C92" s="13"/>
      <c r="D92" s="457" t="s">
        <v>369</v>
      </c>
      <c r="E92" s="116" t="s">
        <v>3</v>
      </c>
      <c r="F92" s="850">
        <v>45</v>
      </c>
    </row>
    <row r="93" spans="1:6" ht="21" x14ac:dyDescent="0.25">
      <c r="A93" s="851"/>
      <c r="B93" s="852"/>
      <c r="C93" s="13"/>
      <c r="D93" s="457" t="s">
        <v>552</v>
      </c>
      <c r="E93" s="116" t="s">
        <v>2</v>
      </c>
      <c r="F93" s="850">
        <v>11.25</v>
      </c>
    </row>
    <row r="94" spans="1:6" ht="20.399999999999999" x14ac:dyDescent="0.25">
      <c r="A94" s="448" t="s">
        <v>583</v>
      </c>
      <c r="B94" s="852"/>
      <c r="C94" s="854">
        <f>SUM(C95:C98)</f>
        <v>160.5</v>
      </c>
      <c r="D94" s="13"/>
      <c r="E94" s="13"/>
      <c r="F94" s="30">
        <f>SUM(F95:F101)</f>
        <v>152.25</v>
      </c>
    </row>
    <row r="95" spans="1:6" ht="21" x14ac:dyDescent="0.25">
      <c r="A95" s="472" t="s">
        <v>557</v>
      </c>
      <c r="B95" s="450" t="s">
        <v>1</v>
      </c>
      <c r="C95" s="53">
        <v>18</v>
      </c>
      <c r="D95" s="457" t="s">
        <v>625</v>
      </c>
      <c r="E95" s="116" t="s">
        <v>3</v>
      </c>
      <c r="F95" s="88">
        <v>30</v>
      </c>
    </row>
    <row r="96" spans="1:6" ht="21" x14ac:dyDescent="0.25">
      <c r="A96" s="472" t="s">
        <v>584</v>
      </c>
      <c r="B96" s="450" t="s">
        <v>3</v>
      </c>
      <c r="C96" s="53">
        <v>90</v>
      </c>
      <c r="D96" s="457" t="s">
        <v>625</v>
      </c>
      <c r="E96" s="116" t="s">
        <v>1</v>
      </c>
      <c r="F96" s="88">
        <v>15</v>
      </c>
    </row>
    <row r="97" spans="1:6" ht="21" x14ac:dyDescent="0.25">
      <c r="A97" s="472" t="s">
        <v>370</v>
      </c>
      <c r="B97" s="450" t="s">
        <v>3</v>
      </c>
      <c r="C97" s="53">
        <v>30</v>
      </c>
      <c r="D97" s="457" t="s">
        <v>608</v>
      </c>
      <c r="E97" s="116" t="s">
        <v>1</v>
      </c>
      <c r="F97" s="88">
        <v>6</v>
      </c>
    </row>
    <row r="98" spans="1:6" ht="21" x14ac:dyDescent="0.25">
      <c r="A98" s="472" t="s">
        <v>540</v>
      </c>
      <c r="B98" s="450" t="s">
        <v>2</v>
      </c>
      <c r="C98" s="53">
        <v>22.5</v>
      </c>
      <c r="D98" s="457" t="s">
        <v>604</v>
      </c>
      <c r="E98" s="116" t="s">
        <v>2</v>
      </c>
      <c r="F98" s="88">
        <v>45</v>
      </c>
    </row>
    <row r="99" spans="1:6" ht="21" x14ac:dyDescent="0.25">
      <c r="A99" s="13"/>
      <c r="B99" s="13"/>
      <c r="C99" s="13"/>
      <c r="D99" s="457" t="s">
        <v>552</v>
      </c>
      <c r="E99" s="116" t="s">
        <v>2</v>
      </c>
      <c r="F99" s="88">
        <v>11.25</v>
      </c>
    </row>
    <row r="100" spans="1:6" ht="21" x14ac:dyDescent="0.25">
      <c r="A100" s="13"/>
      <c r="B100" s="13"/>
      <c r="C100" s="13"/>
      <c r="D100" s="457" t="s">
        <v>295</v>
      </c>
      <c r="E100" s="116" t="s">
        <v>3</v>
      </c>
      <c r="F100" s="88">
        <v>30</v>
      </c>
    </row>
    <row r="101" spans="1:6" ht="21" x14ac:dyDescent="0.25">
      <c r="A101" s="13"/>
      <c r="B101" s="13"/>
      <c r="C101" s="13"/>
      <c r="D101" s="457" t="s">
        <v>295</v>
      </c>
      <c r="E101" s="116" t="s">
        <v>1</v>
      </c>
      <c r="F101" s="88">
        <v>15</v>
      </c>
    </row>
    <row r="102" spans="1:6" ht="20.399999999999999" x14ac:dyDescent="0.25">
      <c r="A102" s="448" t="s">
        <v>586</v>
      </c>
      <c r="B102" s="852"/>
      <c r="C102" s="854">
        <f>SUM(C103:C107)</f>
        <v>177.75</v>
      </c>
      <c r="D102" s="13"/>
      <c r="E102" s="13"/>
      <c r="F102" s="476">
        <f>SUM(F103:F107)</f>
        <v>174</v>
      </c>
    </row>
    <row r="103" spans="1:6" ht="21" x14ac:dyDescent="0.25">
      <c r="A103" s="472" t="s">
        <v>587</v>
      </c>
      <c r="B103" s="450" t="s">
        <v>1</v>
      </c>
      <c r="C103" s="53">
        <v>60</v>
      </c>
      <c r="D103" s="457" t="s">
        <v>627</v>
      </c>
      <c r="E103" s="116" t="s">
        <v>3</v>
      </c>
      <c r="F103" s="489">
        <v>60</v>
      </c>
    </row>
    <row r="104" spans="1:6" ht="21" x14ac:dyDescent="0.25">
      <c r="A104" s="472" t="s">
        <v>588</v>
      </c>
      <c r="B104" s="450" t="s">
        <v>1</v>
      </c>
      <c r="C104" s="53">
        <v>30</v>
      </c>
      <c r="D104" s="457" t="s">
        <v>628</v>
      </c>
      <c r="E104" s="116" t="s">
        <v>3</v>
      </c>
      <c r="F104" s="489">
        <v>60</v>
      </c>
    </row>
    <row r="105" spans="1:6" ht="21" x14ac:dyDescent="0.25">
      <c r="A105" s="472" t="s">
        <v>539</v>
      </c>
      <c r="B105" s="450" t="s">
        <v>2</v>
      </c>
      <c r="C105" s="53">
        <v>9</v>
      </c>
      <c r="D105" s="457" t="s">
        <v>607</v>
      </c>
      <c r="E105" s="116" t="s">
        <v>2</v>
      </c>
      <c r="F105" s="489">
        <v>54</v>
      </c>
    </row>
    <row r="106" spans="1:6" ht="21" x14ac:dyDescent="0.25">
      <c r="A106" s="472" t="s">
        <v>546</v>
      </c>
      <c r="B106" s="450" t="s">
        <v>3</v>
      </c>
      <c r="C106" s="53">
        <v>33.75</v>
      </c>
      <c r="D106" s="11"/>
      <c r="E106" s="57"/>
      <c r="F106" s="850"/>
    </row>
    <row r="107" spans="1:6" ht="21" x14ac:dyDescent="0.25">
      <c r="A107" s="472" t="s">
        <v>589</v>
      </c>
      <c r="B107" s="13"/>
      <c r="C107" s="53">
        <v>45</v>
      </c>
      <c r="D107" s="11"/>
      <c r="E107" s="57"/>
      <c r="F107" s="850"/>
    </row>
    <row r="108" spans="1:6" ht="18" x14ac:dyDescent="0.25">
      <c r="A108" s="855" t="s">
        <v>320</v>
      </c>
      <c r="B108" s="852"/>
      <c r="C108" s="481">
        <f>B2+B6+C11+C18+C23+C30+C37+C43+C51+C55+C62+C68+C73+C80+C88+C94+C102</f>
        <v>2004</v>
      </c>
      <c r="D108" s="13"/>
      <c r="E108" s="13"/>
      <c r="F108" s="481">
        <f>E2+E6+F11+F18+F23+F30+F37+F43+F51+F55+F62+F68+F73+F80+F88+F94+F102</f>
        <v>2599</v>
      </c>
    </row>
    <row r="109" spans="1:6" ht="18" x14ac:dyDescent="0.25">
      <c r="A109" s="855" t="s">
        <v>321</v>
      </c>
      <c r="B109" s="852"/>
      <c r="C109" s="482">
        <f>C108/(15*35)</f>
        <v>3.8171428571428572</v>
      </c>
      <c r="D109" s="13"/>
      <c r="E109" s="13"/>
      <c r="F109" s="274">
        <f>F108/(15*35)</f>
        <v>4.9504761904761905</v>
      </c>
    </row>
    <row r="110" spans="1:6" ht="18" x14ac:dyDescent="0.25">
      <c r="A110" s="855" t="s">
        <v>322</v>
      </c>
      <c r="B110" s="852"/>
      <c r="C110" s="482">
        <f>(C109+F109)/2</f>
        <v>4.383809523809524</v>
      </c>
      <c r="D110" s="13"/>
      <c r="E110" s="13"/>
      <c r="F110" s="13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2"/>
  <sheetViews>
    <sheetView workbookViewId="0">
      <selection activeCell="D14" sqref="D14"/>
    </sheetView>
  </sheetViews>
  <sheetFormatPr defaultRowHeight="13.8" x14ac:dyDescent="0.25"/>
  <cols>
    <col min="1" max="1" width="23.69921875" bestFit="1" customWidth="1"/>
    <col min="2" max="3" width="10.296875" customWidth="1"/>
    <col min="4" max="4" width="15.796875" bestFit="1" customWidth="1"/>
    <col min="6" max="6" width="9.8984375" customWidth="1"/>
  </cols>
  <sheetData>
    <row r="1" spans="1:6" x14ac:dyDescent="0.25">
      <c r="A1" s="227"/>
      <c r="B1" s="215"/>
      <c r="C1" s="8" t="s">
        <v>512</v>
      </c>
      <c r="D1" s="9"/>
      <c r="E1" s="9"/>
      <c r="F1" s="8" t="s">
        <v>513</v>
      </c>
    </row>
    <row r="2" spans="1:6" ht="20.399999999999999" x14ac:dyDescent="0.25">
      <c r="A2" s="448" t="s">
        <v>327</v>
      </c>
      <c r="B2" s="13"/>
      <c r="C2" s="480">
        <f>SUM(C3:C4)</f>
        <v>17.25</v>
      </c>
      <c r="D2" s="13"/>
      <c r="E2" s="13"/>
      <c r="F2" s="30">
        <f>SUM(F3:F7)</f>
        <v>75.75</v>
      </c>
    </row>
    <row r="3" spans="1:6" ht="21" x14ac:dyDescent="0.25">
      <c r="A3" s="472" t="s">
        <v>539</v>
      </c>
      <c r="B3" s="450" t="s">
        <v>1</v>
      </c>
      <c r="C3" s="450">
        <v>6</v>
      </c>
      <c r="D3" s="457" t="s">
        <v>608</v>
      </c>
      <c r="E3" s="116" t="s">
        <v>1</v>
      </c>
      <c r="F3" s="850">
        <v>6</v>
      </c>
    </row>
    <row r="4" spans="1:6" ht="21" x14ac:dyDescent="0.25">
      <c r="A4" s="472" t="s">
        <v>568</v>
      </c>
      <c r="B4" s="451" t="s">
        <v>2</v>
      </c>
      <c r="C4" s="451">
        <v>11.25</v>
      </c>
      <c r="D4" s="457" t="s">
        <v>615</v>
      </c>
      <c r="E4" s="116" t="s">
        <v>3</v>
      </c>
      <c r="F4" s="850">
        <v>30</v>
      </c>
    </row>
    <row r="5" spans="1:6" ht="21" x14ac:dyDescent="0.25">
      <c r="A5" s="13"/>
      <c r="B5" s="13"/>
      <c r="C5" s="13"/>
      <c r="D5" s="457" t="s">
        <v>601</v>
      </c>
      <c r="E5" s="116" t="s">
        <v>1</v>
      </c>
      <c r="F5" s="850">
        <v>6</v>
      </c>
    </row>
    <row r="6" spans="1:6" ht="21" x14ac:dyDescent="0.25">
      <c r="A6" s="13"/>
      <c r="B6" s="13"/>
      <c r="C6" s="13"/>
      <c r="D6" s="457" t="s">
        <v>612</v>
      </c>
      <c r="E6" s="116" t="s">
        <v>2</v>
      </c>
      <c r="F6" s="850">
        <v>22.5</v>
      </c>
    </row>
    <row r="7" spans="1:6" ht="21" x14ac:dyDescent="0.25">
      <c r="A7" s="13"/>
      <c r="B7" s="13"/>
      <c r="C7" s="13"/>
      <c r="D7" s="457" t="s">
        <v>552</v>
      </c>
      <c r="E7" s="116" t="s">
        <v>2</v>
      </c>
      <c r="F7" s="850">
        <v>11.25</v>
      </c>
    </row>
    <row r="8" spans="1:6" ht="20.399999999999999" x14ac:dyDescent="0.25">
      <c r="A8" s="448" t="s">
        <v>288</v>
      </c>
      <c r="B8" s="27"/>
      <c r="C8" s="480">
        <f>SUM(C9:C13)</f>
        <v>141.75</v>
      </c>
      <c r="D8" s="13"/>
      <c r="E8" s="13"/>
      <c r="F8" s="30">
        <f>SUM(F9:F14)</f>
        <v>125.25</v>
      </c>
    </row>
    <row r="9" spans="1:6" ht="21" x14ac:dyDescent="0.25">
      <c r="A9" s="472" t="s">
        <v>574</v>
      </c>
      <c r="B9" s="450" t="s">
        <v>1</v>
      </c>
      <c r="C9" s="53">
        <v>18</v>
      </c>
      <c r="D9" s="457" t="s">
        <v>620</v>
      </c>
      <c r="E9" s="116" t="s">
        <v>3</v>
      </c>
      <c r="F9" s="850">
        <v>60</v>
      </c>
    </row>
    <row r="10" spans="1:6" ht="21" x14ac:dyDescent="0.25">
      <c r="A10" s="472" t="s">
        <v>363</v>
      </c>
      <c r="B10" s="450" t="s">
        <v>3</v>
      </c>
      <c r="C10" s="53">
        <v>45</v>
      </c>
      <c r="D10" s="457" t="s">
        <v>601</v>
      </c>
      <c r="E10" s="116" t="s">
        <v>1</v>
      </c>
      <c r="F10" s="850">
        <v>9</v>
      </c>
    </row>
    <row r="11" spans="1:6" ht="21" x14ac:dyDescent="0.25">
      <c r="A11" s="472" t="s">
        <v>364</v>
      </c>
      <c r="B11" s="450" t="s">
        <v>3</v>
      </c>
      <c r="C11" s="53">
        <v>45</v>
      </c>
      <c r="D11" s="457" t="s">
        <v>597</v>
      </c>
      <c r="E11" s="116" t="s">
        <v>2</v>
      </c>
      <c r="F11" s="850">
        <v>33.75</v>
      </c>
    </row>
    <row r="12" spans="1:6" ht="21" x14ac:dyDescent="0.25">
      <c r="A12" s="472" t="s">
        <v>545</v>
      </c>
      <c r="B12" s="450" t="s">
        <v>2</v>
      </c>
      <c r="C12" s="53">
        <v>11.25</v>
      </c>
      <c r="D12" s="457" t="s">
        <v>599</v>
      </c>
      <c r="E12" s="116" t="s">
        <v>2</v>
      </c>
      <c r="F12" s="850">
        <v>22.5</v>
      </c>
    </row>
    <row r="13" spans="1:6" ht="21" x14ac:dyDescent="0.25">
      <c r="A13" s="472" t="s">
        <v>540</v>
      </c>
      <c r="B13" s="450" t="s">
        <v>2</v>
      </c>
      <c r="C13" s="53">
        <v>22.5</v>
      </c>
      <c r="D13" s="11"/>
      <c r="E13" s="57"/>
      <c r="F13" s="850"/>
    </row>
    <row r="14" spans="1:6" ht="21" x14ac:dyDescent="0.25">
      <c r="A14" s="13"/>
      <c r="B14" s="13"/>
      <c r="C14" s="13"/>
      <c r="D14" s="11"/>
      <c r="E14" s="57"/>
      <c r="F14" s="850"/>
    </row>
    <row r="15" spans="1:6" ht="20.399999999999999" x14ac:dyDescent="0.25">
      <c r="A15" s="448" t="s">
        <v>289</v>
      </c>
      <c r="B15" s="13"/>
      <c r="C15" s="480">
        <f>SUM(C16:C19)</f>
        <v>112.5</v>
      </c>
      <c r="D15" s="13"/>
      <c r="E15" s="13"/>
      <c r="F15" s="30">
        <f>SUM(F16:F19)</f>
        <v>157.5</v>
      </c>
    </row>
    <row r="16" spans="1:6" ht="21" x14ac:dyDescent="0.25">
      <c r="A16" s="472" t="s">
        <v>557</v>
      </c>
      <c r="B16" s="450" t="s">
        <v>1</v>
      </c>
      <c r="C16" s="53">
        <v>22.5</v>
      </c>
      <c r="D16" s="457" t="s">
        <v>575</v>
      </c>
      <c r="E16" s="116" t="s">
        <v>2</v>
      </c>
      <c r="F16" s="850">
        <v>11.25</v>
      </c>
    </row>
    <row r="17" spans="1:6" ht="21" x14ac:dyDescent="0.25">
      <c r="A17" s="472" t="s">
        <v>575</v>
      </c>
      <c r="B17" s="450" t="s">
        <v>2</v>
      </c>
      <c r="C17" s="53">
        <v>11.25</v>
      </c>
      <c r="D17" s="457" t="s">
        <v>597</v>
      </c>
      <c r="E17" s="116" t="s">
        <v>2</v>
      </c>
      <c r="F17" s="850">
        <v>33.75</v>
      </c>
    </row>
    <row r="18" spans="1:6" ht="21" x14ac:dyDescent="0.25">
      <c r="A18" s="472" t="s">
        <v>546</v>
      </c>
      <c r="B18" s="450" t="s">
        <v>2</v>
      </c>
      <c r="C18" s="53">
        <v>33.75</v>
      </c>
      <c r="D18" s="457" t="s">
        <v>621</v>
      </c>
      <c r="E18" s="116" t="s">
        <v>2</v>
      </c>
      <c r="F18" s="850">
        <v>67.5</v>
      </c>
    </row>
    <row r="19" spans="1:6" ht="21" x14ac:dyDescent="0.25">
      <c r="A19" s="472" t="s">
        <v>576</v>
      </c>
      <c r="B19" s="450" t="s">
        <v>3</v>
      </c>
      <c r="C19" s="53">
        <v>45</v>
      </c>
      <c r="D19" s="457" t="s">
        <v>290</v>
      </c>
      <c r="E19" s="116" t="s">
        <v>3</v>
      </c>
      <c r="F19" s="850">
        <v>45</v>
      </c>
    </row>
    <row r="20" spans="1:6" ht="20.399999999999999" x14ac:dyDescent="0.25">
      <c r="A20" s="448" t="s">
        <v>291</v>
      </c>
      <c r="B20" s="13"/>
      <c r="C20" s="854">
        <f>SUM(C21:C24)</f>
        <v>171</v>
      </c>
      <c r="D20" s="13"/>
      <c r="E20" s="13"/>
      <c r="F20" s="30">
        <f>SUM(F21:F24)</f>
        <v>192.75</v>
      </c>
    </row>
    <row r="21" spans="1:6" ht="21" x14ac:dyDescent="0.25">
      <c r="A21" s="472" t="s">
        <v>579</v>
      </c>
      <c r="B21" s="450" t="s">
        <v>3</v>
      </c>
      <c r="C21" s="53">
        <v>90</v>
      </c>
      <c r="D21" s="457" t="s">
        <v>623</v>
      </c>
      <c r="E21" s="116" t="s">
        <v>3</v>
      </c>
      <c r="F21" s="850">
        <v>76</v>
      </c>
    </row>
    <row r="22" spans="1:6" ht="21" x14ac:dyDescent="0.25">
      <c r="A22" s="472" t="s">
        <v>579</v>
      </c>
      <c r="B22" s="450" t="s">
        <v>1</v>
      </c>
      <c r="C22" s="53">
        <v>45</v>
      </c>
      <c r="D22" s="457" t="s">
        <v>623</v>
      </c>
      <c r="E22" s="116" t="s">
        <v>1</v>
      </c>
      <c r="F22" s="850">
        <v>38</v>
      </c>
    </row>
    <row r="23" spans="1:6" ht="21" x14ac:dyDescent="0.25">
      <c r="A23" s="472" t="s">
        <v>557</v>
      </c>
      <c r="B23" s="450" t="s">
        <v>1</v>
      </c>
      <c r="C23" s="53">
        <v>13.5</v>
      </c>
      <c r="D23" s="457" t="s">
        <v>597</v>
      </c>
      <c r="E23" s="116" t="s">
        <v>2</v>
      </c>
      <c r="F23" s="850">
        <v>33.75</v>
      </c>
    </row>
    <row r="24" spans="1:6" ht="21" x14ac:dyDescent="0.25">
      <c r="A24" s="472" t="s">
        <v>540</v>
      </c>
      <c r="B24" s="450" t="s">
        <v>2</v>
      </c>
      <c r="C24" s="53">
        <v>22.5</v>
      </c>
      <c r="D24" s="457" t="s">
        <v>605</v>
      </c>
      <c r="E24" s="116" t="s">
        <v>2</v>
      </c>
      <c r="F24" s="850">
        <v>45</v>
      </c>
    </row>
    <row r="25" spans="1:6" ht="20.399999999999999" x14ac:dyDescent="0.25">
      <c r="A25" s="448" t="s">
        <v>292</v>
      </c>
      <c r="B25" s="13"/>
      <c r="C25" s="480">
        <f>SUM(C26:C29)</f>
        <v>141</v>
      </c>
      <c r="D25" s="13"/>
      <c r="E25" s="13"/>
      <c r="F25" s="856">
        <f>SUM(F26:F29)</f>
        <v>135</v>
      </c>
    </row>
    <row r="26" spans="1:6" ht="21" x14ac:dyDescent="0.25">
      <c r="A26" s="472" t="s">
        <v>557</v>
      </c>
      <c r="B26" s="450" t="s">
        <v>1</v>
      </c>
      <c r="C26" s="53">
        <v>13.5</v>
      </c>
      <c r="D26" s="457" t="s">
        <v>612</v>
      </c>
      <c r="E26" s="116" t="s">
        <v>2</v>
      </c>
      <c r="F26" s="850">
        <v>22.5</v>
      </c>
    </row>
    <row r="27" spans="1:6" ht="21" x14ac:dyDescent="0.25">
      <c r="A27" s="472" t="s">
        <v>580</v>
      </c>
      <c r="B27" s="450" t="s">
        <v>3</v>
      </c>
      <c r="C27" s="53">
        <v>15</v>
      </c>
      <c r="D27" s="457" t="s">
        <v>599</v>
      </c>
      <c r="E27" s="116" t="s">
        <v>2</v>
      </c>
      <c r="F27" s="850">
        <v>22.5</v>
      </c>
    </row>
    <row r="28" spans="1:6" ht="21" x14ac:dyDescent="0.25">
      <c r="A28" s="472" t="s">
        <v>581</v>
      </c>
      <c r="B28" s="450" t="s">
        <v>3</v>
      </c>
      <c r="C28" s="53">
        <v>90</v>
      </c>
      <c r="D28" s="457" t="s">
        <v>293</v>
      </c>
      <c r="E28" s="116" t="s">
        <v>3</v>
      </c>
      <c r="F28" s="850">
        <v>45</v>
      </c>
    </row>
    <row r="29" spans="1:6" ht="21" x14ac:dyDescent="0.25">
      <c r="A29" s="472" t="s">
        <v>540</v>
      </c>
      <c r="B29" s="450" t="s">
        <v>2</v>
      </c>
      <c r="C29" s="53">
        <v>22.5</v>
      </c>
      <c r="D29" s="457" t="s">
        <v>294</v>
      </c>
      <c r="E29" s="116" t="s">
        <v>3</v>
      </c>
      <c r="F29" s="850">
        <v>45</v>
      </c>
    </row>
    <row r="30" spans="1:6" ht="20.399999999999999" x14ac:dyDescent="0.25">
      <c r="A30" s="448" t="s">
        <v>296</v>
      </c>
      <c r="B30" s="13"/>
      <c r="C30" s="480">
        <f>SUM(C31:C35)</f>
        <v>185.25</v>
      </c>
      <c r="D30" s="13"/>
      <c r="E30" s="13"/>
      <c r="F30" s="479">
        <f>SUM(F31:F35)</f>
        <v>24</v>
      </c>
    </row>
    <row r="31" spans="1:6" ht="21" x14ac:dyDescent="0.25">
      <c r="A31" s="472" t="s">
        <v>585</v>
      </c>
      <c r="B31" s="450" t="s">
        <v>3</v>
      </c>
      <c r="C31" s="53">
        <v>60</v>
      </c>
      <c r="D31" s="11" t="s">
        <v>626</v>
      </c>
      <c r="E31" s="57" t="s">
        <v>1</v>
      </c>
      <c r="F31" s="489">
        <v>24</v>
      </c>
    </row>
    <row r="32" spans="1:6" ht="21" x14ac:dyDescent="0.25">
      <c r="A32" s="472" t="s">
        <v>585</v>
      </c>
      <c r="B32" s="450" t="s">
        <v>1</v>
      </c>
      <c r="C32" s="53">
        <v>30</v>
      </c>
      <c r="D32" s="11"/>
      <c r="E32" s="57"/>
      <c r="F32" s="850"/>
    </row>
    <row r="33" spans="1:6" ht="21" x14ac:dyDescent="0.25">
      <c r="A33" s="472" t="s">
        <v>557</v>
      </c>
      <c r="B33" s="450" t="s">
        <v>1</v>
      </c>
      <c r="C33" s="53">
        <v>18</v>
      </c>
      <c r="D33" s="11"/>
      <c r="E33" s="57"/>
      <c r="F33" s="850"/>
    </row>
    <row r="34" spans="1:6" ht="21" x14ac:dyDescent="0.25">
      <c r="A34" s="472" t="s">
        <v>565</v>
      </c>
      <c r="B34" s="450" t="s">
        <v>2</v>
      </c>
      <c r="C34" s="53">
        <v>56.25</v>
      </c>
      <c r="D34" s="11"/>
      <c r="E34" s="57"/>
      <c r="F34" s="850"/>
    </row>
    <row r="35" spans="1:6" ht="21" x14ac:dyDescent="0.25">
      <c r="A35" s="472" t="s">
        <v>279</v>
      </c>
      <c r="B35" s="450" t="s">
        <v>3</v>
      </c>
      <c r="C35" s="53">
        <v>21</v>
      </c>
      <c r="D35" s="11"/>
      <c r="E35" s="57"/>
      <c r="F35" s="850"/>
    </row>
    <row r="36" spans="1:6" ht="20.399999999999999" x14ac:dyDescent="0.25">
      <c r="A36" s="448" t="s">
        <v>298</v>
      </c>
      <c r="B36" s="13"/>
      <c r="C36" s="325">
        <f>SUM(C37:C44)</f>
        <v>225</v>
      </c>
      <c r="D36" s="13"/>
      <c r="E36" s="13"/>
      <c r="F36" s="30">
        <f>SUM(F37:F44)</f>
        <v>219</v>
      </c>
    </row>
    <row r="37" spans="1:6" ht="21" x14ac:dyDescent="0.25">
      <c r="A37" s="472" t="s">
        <v>590</v>
      </c>
      <c r="B37" s="450" t="s">
        <v>3</v>
      </c>
      <c r="C37" s="53">
        <v>90</v>
      </c>
      <c r="D37" s="457" t="s">
        <v>629</v>
      </c>
      <c r="E37" s="116" t="s">
        <v>3</v>
      </c>
      <c r="F37" s="850">
        <v>14</v>
      </c>
    </row>
    <row r="38" spans="1:6" ht="21" x14ac:dyDescent="0.25">
      <c r="A38" s="472" t="s">
        <v>590</v>
      </c>
      <c r="B38" s="450" t="s">
        <v>1</v>
      </c>
      <c r="C38" s="53">
        <v>45</v>
      </c>
      <c r="D38" s="457" t="s">
        <v>629</v>
      </c>
      <c r="E38" s="116" t="s">
        <v>1</v>
      </c>
      <c r="F38" s="850">
        <v>7</v>
      </c>
    </row>
    <row r="39" spans="1:6" ht="21" x14ac:dyDescent="0.25">
      <c r="A39" s="472" t="s">
        <v>297</v>
      </c>
      <c r="B39" s="450" t="s">
        <v>3</v>
      </c>
      <c r="C39" s="53">
        <v>30</v>
      </c>
      <c r="D39" s="457" t="s">
        <v>608</v>
      </c>
      <c r="E39" s="116" t="s">
        <v>1</v>
      </c>
      <c r="F39" s="850">
        <v>3</v>
      </c>
    </row>
    <row r="40" spans="1:6" ht="21" x14ac:dyDescent="0.25">
      <c r="A40" s="472" t="s">
        <v>539</v>
      </c>
      <c r="B40" s="450" t="s">
        <v>1</v>
      </c>
      <c r="C40" s="53">
        <v>15</v>
      </c>
      <c r="D40" s="457" t="s">
        <v>630</v>
      </c>
      <c r="E40" s="116" t="s">
        <v>3</v>
      </c>
      <c r="F40" s="850">
        <v>30</v>
      </c>
    </row>
    <row r="41" spans="1:6" ht="21" x14ac:dyDescent="0.25">
      <c r="A41" s="472" t="s">
        <v>550</v>
      </c>
      <c r="B41" s="450" t="s">
        <v>2</v>
      </c>
      <c r="C41" s="53">
        <v>45</v>
      </c>
      <c r="D41" s="457" t="s">
        <v>630</v>
      </c>
      <c r="E41" s="116" t="s">
        <v>1</v>
      </c>
      <c r="F41" s="850">
        <v>15</v>
      </c>
    </row>
    <row r="42" spans="1:6" ht="21" x14ac:dyDescent="0.25">
      <c r="A42" s="13"/>
      <c r="B42" s="13"/>
      <c r="C42" s="13"/>
      <c r="D42" s="457" t="s">
        <v>597</v>
      </c>
      <c r="E42" s="116" t="s">
        <v>2</v>
      </c>
      <c r="F42" s="850">
        <v>33.75</v>
      </c>
    </row>
    <row r="43" spans="1:6" ht="21" x14ac:dyDescent="0.25">
      <c r="A43" s="13"/>
      <c r="B43" s="13"/>
      <c r="C43" s="13"/>
      <c r="D43" s="457" t="s">
        <v>631</v>
      </c>
      <c r="E43" s="116" t="s">
        <v>3</v>
      </c>
      <c r="F43" s="850">
        <v>60</v>
      </c>
    </row>
    <row r="44" spans="1:6" ht="21" x14ac:dyDescent="0.25">
      <c r="A44" s="13"/>
      <c r="B44" s="13"/>
      <c r="C44" s="13"/>
      <c r="D44" s="457" t="s">
        <v>613</v>
      </c>
      <c r="E44" s="116" t="s">
        <v>2</v>
      </c>
      <c r="F44" s="850">
        <v>56.25</v>
      </c>
    </row>
    <row r="45" spans="1:6" ht="20.399999999999999" x14ac:dyDescent="0.25">
      <c r="A45" s="448" t="s">
        <v>591</v>
      </c>
      <c r="B45" s="13"/>
      <c r="C45" s="480">
        <f>SUM(C46:C49)</f>
        <v>90</v>
      </c>
      <c r="D45" s="13"/>
      <c r="E45" s="13"/>
      <c r="F45" s="30">
        <f>SUM(F46:F47)</f>
        <v>52.5</v>
      </c>
    </row>
    <row r="46" spans="1:6" ht="21" x14ac:dyDescent="0.4">
      <c r="A46" s="472" t="s">
        <v>272</v>
      </c>
      <c r="B46" s="450" t="s">
        <v>3</v>
      </c>
      <c r="C46" s="53">
        <v>30</v>
      </c>
      <c r="D46" s="457" t="s">
        <v>632</v>
      </c>
      <c r="E46" s="824" t="s">
        <v>3</v>
      </c>
      <c r="F46" s="850">
        <v>30</v>
      </c>
    </row>
    <row r="47" spans="1:6" ht="21" x14ac:dyDescent="0.4">
      <c r="A47" s="472" t="s">
        <v>272</v>
      </c>
      <c r="B47" s="450" t="s">
        <v>1</v>
      </c>
      <c r="C47" s="53">
        <v>15</v>
      </c>
      <c r="D47" s="457" t="s">
        <v>612</v>
      </c>
      <c r="E47" s="824" t="s">
        <v>2</v>
      </c>
      <c r="F47" s="850">
        <v>22.5</v>
      </c>
    </row>
    <row r="48" spans="1:6" ht="21" x14ac:dyDescent="0.25">
      <c r="A48" s="472" t="s">
        <v>592</v>
      </c>
      <c r="B48" s="450" t="s">
        <v>3</v>
      </c>
      <c r="C48" s="53">
        <v>30</v>
      </c>
      <c r="D48" s="11"/>
      <c r="E48" s="57"/>
      <c r="F48" s="850"/>
    </row>
    <row r="49" spans="1:6" ht="21" x14ac:dyDescent="0.25">
      <c r="A49" s="472" t="s">
        <v>592</v>
      </c>
      <c r="B49" s="275"/>
      <c r="C49" s="53">
        <v>15</v>
      </c>
      <c r="D49" s="13"/>
      <c r="E49" s="13"/>
      <c r="F49" s="275"/>
    </row>
    <row r="50" spans="1:6" ht="18" x14ac:dyDescent="0.25">
      <c r="A50" s="276" t="s">
        <v>320</v>
      </c>
      <c r="B50" s="276"/>
      <c r="C50" s="30">
        <f>C2+C8+C15+C20+C25+C30+C36+C45</f>
        <v>1083.75</v>
      </c>
      <c r="D50" s="13"/>
      <c r="E50" s="13"/>
      <c r="F50" s="30">
        <f>F2+F8+F15+F20+F25+F30+F36+F45</f>
        <v>981.75</v>
      </c>
    </row>
    <row r="51" spans="1:6" ht="18" x14ac:dyDescent="0.25">
      <c r="A51" s="276" t="s">
        <v>321</v>
      </c>
      <c r="B51" s="274"/>
      <c r="C51" s="482">
        <f>C50/(15*35)</f>
        <v>2.0642857142857145</v>
      </c>
      <c r="D51" s="13"/>
      <c r="E51" s="13"/>
      <c r="F51" s="482">
        <f>F50/(15*35)</f>
        <v>1.87</v>
      </c>
    </row>
    <row r="52" spans="1:6" ht="18" x14ac:dyDescent="0.25">
      <c r="A52" s="276" t="s">
        <v>322</v>
      </c>
      <c r="B52" s="274"/>
      <c r="C52" s="322">
        <f>(C51+F51)/2</f>
        <v>1.9671428571428573</v>
      </c>
      <c r="D52" s="13"/>
      <c r="E52" s="13"/>
      <c r="F52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topLeftCell="A4" workbookViewId="0">
      <selection activeCell="G16" sqref="G16"/>
    </sheetView>
  </sheetViews>
  <sheetFormatPr defaultRowHeight="13.8" x14ac:dyDescent="0.25"/>
  <cols>
    <col min="1" max="1" width="23.8984375" customWidth="1"/>
    <col min="2" max="2" width="8.796875" style="217" customWidth="1"/>
    <col min="3" max="3" width="12.796875" customWidth="1"/>
    <col min="4" max="4" width="9.8984375" customWidth="1"/>
    <col min="6" max="6" width="10" customWidth="1"/>
  </cols>
  <sheetData>
    <row r="1" spans="1:6" x14ac:dyDescent="0.25">
      <c r="A1" s="21"/>
      <c r="B1" s="15"/>
      <c r="C1" s="17" t="s">
        <v>512</v>
      </c>
      <c r="D1" s="23"/>
      <c r="E1" s="23"/>
      <c r="F1" s="17" t="s">
        <v>513</v>
      </c>
    </row>
    <row r="2" spans="1:6" ht="21" x14ac:dyDescent="0.25">
      <c r="A2" s="462" t="s">
        <v>263</v>
      </c>
      <c r="B2" s="18"/>
      <c r="C2" s="483">
        <f>SUM(C3)</f>
        <v>15</v>
      </c>
      <c r="D2" s="294"/>
      <c r="E2" s="484"/>
      <c r="F2" s="485">
        <f>SUM(F3)</f>
        <v>15</v>
      </c>
    </row>
    <row r="3" spans="1:6" ht="21" x14ac:dyDescent="0.25">
      <c r="A3" s="458" t="s">
        <v>543</v>
      </c>
      <c r="B3" s="120" t="s">
        <v>236</v>
      </c>
      <c r="C3" s="461">
        <v>15</v>
      </c>
      <c r="D3" s="458" t="s">
        <v>600</v>
      </c>
      <c r="E3" s="120" t="s">
        <v>236</v>
      </c>
      <c r="F3" s="857">
        <v>15</v>
      </c>
    </row>
    <row r="4" spans="1:6" ht="21" x14ac:dyDescent="0.25">
      <c r="A4" s="473" t="s">
        <v>267</v>
      </c>
      <c r="B4" s="18"/>
      <c r="C4" s="478">
        <f>SUM(C5)</f>
        <v>45</v>
      </c>
      <c r="D4" s="12"/>
      <c r="E4" s="12"/>
      <c r="F4" s="479">
        <f>SUM(F5)</f>
        <v>45</v>
      </c>
    </row>
    <row r="5" spans="1:6" ht="21" x14ac:dyDescent="0.25">
      <c r="A5" s="466" t="s">
        <v>555</v>
      </c>
      <c r="B5" s="467" t="s">
        <v>3</v>
      </c>
      <c r="C5" s="425">
        <v>45</v>
      </c>
      <c r="D5" s="4" t="s">
        <v>299</v>
      </c>
      <c r="E5" s="20" t="s">
        <v>3</v>
      </c>
      <c r="F5" s="858">
        <v>45</v>
      </c>
    </row>
    <row r="6" spans="1:6" ht="21" x14ac:dyDescent="0.25">
      <c r="A6" s="462" t="s">
        <v>271</v>
      </c>
      <c r="B6" s="18"/>
      <c r="C6" s="325">
        <f>SUM(C7)</f>
        <v>8</v>
      </c>
      <c r="D6" s="12"/>
      <c r="E6" s="12"/>
      <c r="F6" s="479">
        <f>SUM(F7:F7)</f>
        <v>45</v>
      </c>
    </row>
    <row r="7" spans="1:6" ht="21" x14ac:dyDescent="0.25">
      <c r="A7" s="468" t="s">
        <v>301</v>
      </c>
      <c r="B7" s="455" t="s">
        <v>236</v>
      </c>
      <c r="C7" s="202">
        <v>8</v>
      </c>
      <c r="D7" s="10" t="s">
        <v>300</v>
      </c>
      <c r="E7" s="3" t="s">
        <v>3</v>
      </c>
      <c r="F7" s="858">
        <v>45</v>
      </c>
    </row>
    <row r="8" spans="1:6" ht="21" x14ac:dyDescent="0.25">
      <c r="A8" s="462" t="s">
        <v>273</v>
      </c>
      <c r="B8" s="459"/>
      <c r="C8" s="325">
        <f>SUM(C9:C10)</f>
        <v>90</v>
      </c>
      <c r="D8" s="18"/>
      <c r="E8" s="26"/>
      <c r="F8" s="475">
        <f>SUM(F9)</f>
        <v>45</v>
      </c>
    </row>
    <row r="9" spans="1:6" ht="21" x14ac:dyDescent="0.25">
      <c r="A9" s="470" t="s">
        <v>560</v>
      </c>
      <c r="B9" s="471" t="s">
        <v>3</v>
      </c>
      <c r="C9" s="42">
        <v>45</v>
      </c>
      <c r="D9" s="470" t="s">
        <v>560</v>
      </c>
      <c r="E9" s="471" t="s">
        <v>3</v>
      </c>
      <c r="F9" s="861">
        <v>45</v>
      </c>
    </row>
    <row r="10" spans="1:6" ht="21" x14ac:dyDescent="0.55000000000000004">
      <c r="A10" s="469" t="s">
        <v>561</v>
      </c>
      <c r="B10" s="463" t="s">
        <v>3</v>
      </c>
      <c r="C10" s="48">
        <v>45</v>
      </c>
      <c r="D10" s="22"/>
      <c r="E10" s="859"/>
      <c r="F10" s="860"/>
    </row>
    <row r="11" spans="1:6" ht="21" x14ac:dyDescent="0.25">
      <c r="A11" s="462" t="s">
        <v>277</v>
      </c>
      <c r="B11" s="18"/>
      <c r="C11" s="478">
        <f>SUM(C12:C13)</f>
        <v>60</v>
      </c>
      <c r="D11" s="12"/>
      <c r="E11" s="12"/>
      <c r="F11" s="476"/>
    </row>
    <row r="12" spans="1:6" ht="21" x14ac:dyDescent="0.25">
      <c r="A12" s="452" t="s">
        <v>566</v>
      </c>
      <c r="B12" s="474" t="s">
        <v>3</v>
      </c>
      <c r="C12" s="42">
        <v>45</v>
      </c>
      <c r="D12" s="486"/>
      <c r="E12" s="490"/>
      <c r="F12" s="487"/>
    </row>
    <row r="13" spans="1:6" ht="21" x14ac:dyDescent="0.25">
      <c r="A13" s="453" t="s">
        <v>301</v>
      </c>
      <c r="B13" s="454" t="s">
        <v>236</v>
      </c>
      <c r="C13" s="48">
        <v>15</v>
      </c>
      <c r="D13" s="492"/>
      <c r="E13" s="491"/>
      <c r="F13" s="477"/>
    </row>
    <row r="14" spans="1:6" ht="21" x14ac:dyDescent="0.25">
      <c r="A14" s="462" t="s">
        <v>569</v>
      </c>
      <c r="B14" s="18"/>
      <c r="C14" s="478"/>
      <c r="D14" s="58"/>
      <c r="E14" s="58"/>
      <c r="F14" s="488">
        <f>SUM(F15)</f>
        <v>45</v>
      </c>
    </row>
    <row r="15" spans="1:6" ht="21" x14ac:dyDescent="0.25">
      <c r="A15" s="472"/>
      <c r="B15" s="450"/>
      <c r="C15" s="446"/>
      <c r="D15" s="457" t="s">
        <v>619</v>
      </c>
      <c r="E15" s="116" t="s">
        <v>3</v>
      </c>
      <c r="F15" s="489">
        <v>45</v>
      </c>
    </row>
    <row r="16" spans="1:6" ht="18" x14ac:dyDescent="0.25">
      <c r="A16" s="259" t="s">
        <v>320</v>
      </c>
      <c r="B16" s="460"/>
      <c r="C16" s="67">
        <f>C2+C4+C6+C8+C11+C14</f>
        <v>218</v>
      </c>
      <c r="D16" s="21"/>
      <c r="E16" s="12"/>
      <c r="F16" s="38">
        <f>F2+F4+F6+F8+F11+F14</f>
        <v>195</v>
      </c>
    </row>
    <row r="17" spans="1:6" ht="18" x14ac:dyDescent="0.25">
      <c r="A17" s="266" t="s">
        <v>321</v>
      </c>
      <c r="B17" s="276"/>
      <c r="C17" s="322">
        <f>C16/(15*35)</f>
        <v>0.41523809523809524</v>
      </c>
      <c r="D17" s="21"/>
      <c r="E17" s="12"/>
      <c r="F17" s="323">
        <f>F16/(15*35)</f>
        <v>0.37142857142857144</v>
      </c>
    </row>
    <row r="18" spans="1:6" ht="18" x14ac:dyDescent="0.25">
      <c r="A18" s="259" t="s">
        <v>322</v>
      </c>
      <c r="B18" s="460"/>
      <c r="C18" s="324">
        <f>(C17+F17)/2</f>
        <v>0.39333333333333331</v>
      </c>
      <c r="D18" s="21"/>
      <c r="E18" s="12"/>
      <c r="F18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workbookViewId="0">
      <selection activeCell="H16" sqref="H16"/>
    </sheetView>
  </sheetViews>
  <sheetFormatPr defaultRowHeight="13.8" x14ac:dyDescent="0.25"/>
  <cols>
    <col min="1" max="1" width="23.8984375" customWidth="1"/>
    <col min="2" max="2" width="10" customWidth="1"/>
    <col min="3" max="3" width="14.19921875" customWidth="1"/>
    <col min="6" max="6" width="10.296875" bestFit="1" customWidth="1"/>
  </cols>
  <sheetData>
    <row r="1" spans="1:6" x14ac:dyDescent="0.25">
      <c r="A1" s="21"/>
      <c r="B1" s="382"/>
      <c r="C1" s="17" t="s">
        <v>512</v>
      </c>
      <c r="D1" s="23"/>
      <c r="E1" s="23"/>
      <c r="F1" s="17" t="s">
        <v>513</v>
      </c>
    </row>
    <row r="2" spans="1:6" ht="20.399999999999999" x14ac:dyDescent="0.25">
      <c r="A2" s="448" t="s">
        <v>287</v>
      </c>
      <c r="B2" s="27"/>
      <c r="C2" s="480">
        <f>SUM(C3)</f>
        <v>15</v>
      </c>
      <c r="D2" s="13"/>
      <c r="E2" s="13"/>
      <c r="F2" s="479">
        <f>SUM(F3)</f>
        <v>15</v>
      </c>
    </row>
    <row r="3" spans="1:6" ht="21" x14ac:dyDescent="0.25">
      <c r="A3" s="472" t="s">
        <v>301</v>
      </c>
      <c r="B3" s="451" t="s">
        <v>236</v>
      </c>
      <c r="C3" s="53">
        <v>15</v>
      </c>
      <c r="D3" s="11" t="s">
        <v>616</v>
      </c>
      <c r="E3" s="57" t="s">
        <v>236</v>
      </c>
      <c r="F3" s="489">
        <v>15</v>
      </c>
    </row>
    <row r="4" spans="1:6" ht="20.399999999999999" x14ac:dyDescent="0.25">
      <c r="A4" s="448" t="s">
        <v>289</v>
      </c>
      <c r="B4" s="27"/>
      <c r="C4" s="480">
        <f>SUM(C5:C6)</f>
        <v>60</v>
      </c>
      <c r="D4" s="13"/>
      <c r="E4" s="13"/>
      <c r="F4" s="479">
        <f>SUM(F5)</f>
        <v>45</v>
      </c>
    </row>
    <row r="5" spans="1:6" ht="21" x14ac:dyDescent="0.25">
      <c r="A5" s="472" t="s">
        <v>577</v>
      </c>
      <c r="B5" s="451" t="s">
        <v>3</v>
      </c>
      <c r="C5" s="53">
        <v>45</v>
      </c>
      <c r="D5" s="11" t="s">
        <v>622</v>
      </c>
      <c r="E5" s="57" t="s">
        <v>3</v>
      </c>
      <c r="F5" s="489">
        <v>45</v>
      </c>
    </row>
    <row r="6" spans="1:6" ht="21" x14ac:dyDescent="0.25">
      <c r="A6" s="472" t="s">
        <v>578</v>
      </c>
      <c r="B6" s="451" t="s">
        <v>236</v>
      </c>
      <c r="C6" s="53">
        <v>15</v>
      </c>
      <c r="D6" s="11"/>
      <c r="E6" s="57"/>
      <c r="F6" s="489"/>
    </row>
    <row r="7" spans="1:6" ht="18" x14ac:dyDescent="0.25">
      <c r="A7" s="276" t="s">
        <v>320</v>
      </c>
      <c r="B7" s="13"/>
      <c r="C7" s="17">
        <f>C2+C4</f>
        <v>75</v>
      </c>
      <c r="D7" s="17"/>
      <c r="E7" s="17"/>
      <c r="F7" s="17">
        <f>F2+F4</f>
        <v>60</v>
      </c>
    </row>
    <row r="8" spans="1:6" ht="18" x14ac:dyDescent="0.25">
      <c r="A8" s="276" t="s">
        <v>321</v>
      </c>
      <c r="B8" s="274"/>
      <c r="C8" s="322">
        <f>C7/(15*35)</f>
        <v>0.14285714285714285</v>
      </c>
      <c r="D8" s="17"/>
      <c r="E8" s="17"/>
      <c r="F8" s="322">
        <f>F7/(15*35)</f>
        <v>0.11428571428571428</v>
      </c>
    </row>
    <row r="9" spans="1:6" ht="18" x14ac:dyDescent="0.25">
      <c r="A9" s="276" t="s">
        <v>322</v>
      </c>
      <c r="B9" s="274"/>
      <c r="C9" s="322">
        <f>(C8+F8)/2</f>
        <v>0.12857142857142856</v>
      </c>
      <c r="D9" s="17"/>
      <c r="E9" s="17"/>
      <c r="F9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24"/>
  <sheetViews>
    <sheetView workbookViewId="0">
      <selection activeCell="F22" sqref="F22"/>
    </sheetView>
  </sheetViews>
  <sheetFormatPr defaultRowHeight="13.8" x14ac:dyDescent="0.25"/>
  <cols>
    <col min="1" max="1" width="23.69921875" style="72" bestFit="1" customWidth="1"/>
    <col min="2" max="2" width="10.3984375" style="70" customWidth="1"/>
    <col min="3" max="3" width="11.296875" style="549" customWidth="1"/>
    <col min="4" max="4" width="14.8984375" style="513" bestFit="1" customWidth="1"/>
    <col min="5" max="5" width="10.3984375" style="70" customWidth="1"/>
    <col min="6" max="6" width="11.296875" style="549" customWidth="1"/>
    <col min="7" max="16384" width="8.796875" style="72"/>
  </cols>
  <sheetData>
    <row r="1" spans="1:6" x14ac:dyDescent="0.25">
      <c r="A1" s="87"/>
      <c r="B1" s="69"/>
      <c r="C1" s="69" t="s">
        <v>512</v>
      </c>
      <c r="D1" s="684"/>
      <c r="E1" s="69"/>
      <c r="F1" s="69" t="s">
        <v>513</v>
      </c>
    </row>
    <row r="2" spans="1:6" ht="21" x14ac:dyDescent="0.25">
      <c r="A2" s="871" t="s">
        <v>476</v>
      </c>
      <c r="B2" s="62"/>
      <c r="C2" s="612">
        <f>SUM(C3:C3)</f>
        <v>4</v>
      </c>
      <c r="D2" s="374"/>
      <c r="E2" s="62"/>
      <c r="F2" s="1035">
        <f>SUM(F3:F3)</f>
        <v>5</v>
      </c>
    </row>
    <row r="3" spans="1:6" ht="14.4" thickBot="1" x14ac:dyDescent="0.3">
      <c r="A3" s="312" t="s">
        <v>498</v>
      </c>
      <c r="B3" s="817" t="s">
        <v>236</v>
      </c>
      <c r="C3" s="1033">
        <v>4</v>
      </c>
      <c r="D3" s="312" t="s">
        <v>498</v>
      </c>
      <c r="E3" s="817" t="s">
        <v>236</v>
      </c>
      <c r="F3" s="1033">
        <v>5</v>
      </c>
    </row>
    <row r="4" spans="1:6" ht="20.399999999999999" x14ac:dyDescent="0.25">
      <c r="A4" s="1105" t="s">
        <v>477</v>
      </c>
      <c r="B4" s="1093"/>
      <c r="C4" s="1120">
        <f>SUM(C5:C6)</f>
        <v>48</v>
      </c>
      <c r="D4" s="1121"/>
      <c r="E4" s="1093"/>
      <c r="F4" s="1120">
        <f>SUM(F5)</f>
        <v>45</v>
      </c>
    </row>
    <row r="5" spans="1:6" x14ac:dyDescent="0.25">
      <c r="A5" s="285" t="s">
        <v>506</v>
      </c>
      <c r="B5" s="378" t="s">
        <v>30</v>
      </c>
      <c r="C5" s="727">
        <f>3*15</f>
        <v>45</v>
      </c>
      <c r="D5" s="867" t="s">
        <v>795</v>
      </c>
      <c r="E5" s="810" t="s">
        <v>667</v>
      </c>
      <c r="F5" s="1033">
        <v>45</v>
      </c>
    </row>
    <row r="6" spans="1:6" ht="21.6" thickBot="1" x14ac:dyDescent="0.3">
      <c r="A6" s="1153" t="s">
        <v>498</v>
      </c>
      <c r="B6" s="1154" t="s">
        <v>236</v>
      </c>
      <c r="C6" s="1155">
        <v>3</v>
      </c>
      <c r="D6" s="1156"/>
      <c r="E6" s="1154"/>
      <c r="F6" s="1157"/>
    </row>
    <row r="7" spans="1:6" x14ac:dyDescent="0.25">
      <c r="A7" s="1114" t="s">
        <v>479</v>
      </c>
      <c r="B7" s="806"/>
      <c r="C7" s="876">
        <f>SUM(C8:C8)</f>
        <v>9</v>
      </c>
      <c r="D7" s="822"/>
      <c r="E7" s="806"/>
      <c r="F7" s="704"/>
    </row>
    <row r="8" spans="1:6" ht="14.4" thickBot="1" x14ac:dyDescent="0.3">
      <c r="A8" s="96" t="s">
        <v>803</v>
      </c>
      <c r="B8" s="804" t="s">
        <v>30</v>
      </c>
      <c r="C8" s="1034">
        <v>9</v>
      </c>
      <c r="D8" s="68"/>
      <c r="E8" s="810"/>
      <c r="F8" s="332"/>
    </row>
    <row r="9" spans="1:6" ht="21" x14ac:dyDescent="0.25">
      <c r="A9" s="1158" t="s">
        <v>484</v>
      </c>
      <c r="B9" s="1119"/>
      <c r="C9" s="1106">
        <f>SUM(C10:C10)</f>
        <v>9</v>
      </c>
      <c r="D9" s="1094"/>
      <c r="E9" s="1119"/>
      <c r="F9" s="1106"/>
    </row>
    <row r="10" spans="1:6" ht="21.6" thickBot="1" x14ac:dyDescent="0.3">
      <c r="A10" s="1159" t="s">
        <v>803</v>
      </c>
      <c r="B10" s="1160" t="s">
        <v>3</v>
      </c>
      <c r="C10" s="1146">
        <f>3*3</f>
        <v>9</v>
      </c>
      <c r="D10" s="1083"/>
      <c r="E10" s="1161"/>
      <c r="F10" s="1058"/>
    </row>
    <row r="11" spans="1:6" ht="21" x14ac:dyDescent="0.6">
      <c r="A11" s="1118" t="s">
        <v>495</v>
      </c>
      <c r="B11" s="1038"/>
      <c r="C11" s="364">
        <f>SUM(C12:C14)</f>
        <v>63</v>
      </c>
      <c r="D11" s="1151"/>
      <c r="E11" s="1038"/>
      <c r="F11" s="364">
        <f>SUM(F12:F13)</f>
        <v>53</v>
      </c>
    </row>
    <row r="12" spans="1:6" ht="21" x14ac:dyDescent="0.4">
      <c r="A12" s="845" t="s">
        <v>809</v>
      </c>
      <c r="B12" s="824" t="s">
        <v>667</v>
      </c>
      <c r="C12" s="347">
        <v>45</v>
      </c>
      <c r="D12" s="457" t="s">
        <v>793</v>
      </c>
      <c r="E12" s="116" t="s">
        <v>667</v>
      </c>
      <c r="F12" s="347">
        <v>45</v>
      </c>
    </row>
    <row r="13" spans="1:6" ht="21" x14ac:dyDescent="0.4">
      <c r="A13" s="845" t="s">
        <v>803</v>
      </c>
      <c r="B13" s="824" t="s">
        <v>667</v>
      </c>
      <c r="C13" s="347">
        <v>9</v>
      </c>
      <c r="D13" s="87" t="s">
        <v>498</v>
      </c>
      <c r="E13" s="82" t="s">
        <v>236</v>
      </c>
      <c r="F13" s="347">
        <f>2*8/2</f>
        <v>8</v>
      </c>
    </row>
    <row r="14" spans="1:6" ht="21.6" thickBot="1" x14ac:dyDescent="0.45">
      <c r="A14" s="1066" t="s">
        <v>498</v>
      </c>
      <c r="B14" s="122" t="s">
        <v>786</v>
      </c>
      <c r="C14" s="344">
        <v>9</v>
      </c>
      <c r="D14" s="68"/>
      <c r="E14" s="810"/>
      <c r="F14" s="344"/>
    </row>
    <row r="15" spans="1:6" ht="21" x14ac:dyDescent="0.6">
      <c r="A15" s="1162" t="s">
        <v>785</v>
      </c>
      <c r="B15" s="1130"/>
      <c r="C15" s="1101">
        <f>SUM(C16)</f>
        <v>4</v>
      </c>
      <c r="D15" s="1131"/>
      <c r="E15" s="1130"/>
      <c r="F15" s="1101">
        <f>SUM(F16)</f>
        <v>15</v>
      </c>
    </row>
    <row r="16" spans="1:6" ht="21.6" thickBot="1" x14ac:dyDescent="0.45">
      <c r="A16" s="1056" t="s">
        <v>498</v>
      </c>
      <c r="B16" s="1057" t="s">
        <v>786</v>
      </c>
      <c r="C16" s="1058">
        <v>4</v>
      </c>
      <c r="D16" s="1059" t="s">
        <v>498</v>
      </c>
      <c r="E16" s="1057" t="s">
        <v>786</v>
      </c>
      <c r="F16" s="1058">
        <v>15</v>
      </c>
    </row>
    <row r="17" spans="1:6" ht="21" x14ac:dyDescent="0.6">
      <c r="A17" s="1152" t="s">
        <v>787</v>
      </c>
      <c r="B17" s="1037"/>
      <c r="C17" s="704">
        <f>SUM(C18)</f>
        <v>4</v>
      </c>
      <c r="D17" s="377"/>
      <c r="E17" s="1037"/>
      <c r="F17" s="704">
        <f>SUM(F18:F19)</f>
        <v>45</v>
      </c>
    </row>
    <row r="18" spans="1:6" ht="21" x14ac:dyDescent="0.4">
      <c r="A18" s="841" t="s">
        <v>498</v>
      </c>
      <c r="B18" s="129" t="s">
        <v>786</v>
      </c>
      <c r="C18" s="347">
        <v>4</v>
      </c>
      <c r="D18" s="457" t="s">
        <v>788</v>
      </c>
      <c r="E18" s="116" t="s">
        <v>667</v>
      </c>
      <c r="F18" s="347">
        <v>36</v>
      </c>
    </row>
    <row r="19" spans="1:6" ht="24" thickBot="1" x14ac:dyDescent="0.65">
      <c r="A19" s="1023"/>
      <c r="B19" s="387"/>
      <c r="C19" s="344"/>
      <c r="D19" s="998" t="s">
        <v>498</v>
      </c>
      <c r="E19" s="122" t="s">
        <v>786</v>
      </c>
      <c r="F19" s="344">
        <v>9</v>
      </c>
    </row>
    <row r="20" spans="1:6" ht="23.4" x14ac:dyDescent="0.6">
      <c r="A20" s="1162" t="s">
        <v>789</v>
      </c>
      <c r="B20" s="1130"/>
      <c r="C20" s="1101"/>
      <c r="D20" s="1163"/>
      <c r="E20" s="1130"/>
      <c r="F20" s="1101">
        <f>SUM(F21)</f>
        <v>5</v>
      </c>
    </row>
    <row r="21" spans="1:6" ht="24" thickBot="1" x14ac:dyDescent="0.65">
      <c r="A21" s="1164"/>
      <c r="B21" s="1133"/>
      <c r="C21" s="1058"/>
      <c r="D21" s="1059" t="s">
        <v>498</v>
      </c>
      <c r="E21" s="1057" t="s">
        <v>786</v>
      </c>
      <c r="F21" s="1058">
        <v>5</v>
      </c>
    </row>
    <row r="22" spans="1:6" ht="18" x14ac:dyDescent="0.25">
      <c r="A22" s="276" t="s">
        <v>320</v>
      </c>
      <c r="B22" s="383"/>
      <c r="C22" s="1031">
        <f>C2+C4+C7+C9+C11+C15+C17+C20</f>
        <v>141</v>
      </c>
      <c r="D22" s="597"/>
      <c r="E22" s="383"/>
      <c r="F22" s="1031">
        <f>F2+F4+F7+F9+F11+F15+F17+F20</f>
        <v>168</v>
      </c>
    </row>
    <row r="23" spans="1:6" ht="18" x14ac:dyDescent="0.25">
      <c r="A23" s="266" t="s">
        <v>321</v>
      </c>
      <c r="B23" s="390"/>
      <c r="C23" s="598">
        <f>C22/(15*35)</f>
        <v>0.26857142857142857</v>
      </c>
      <c r="D23" s="599"/>
      <c r="E23" s="390"/>
      <c r="F23" s="598">
        <f>F22/(15*35)</f>
        <v>0.32</v>
      </c>
    </row>
    <row r="24" spans="1:6" ht="18" x14ac:dyDescent="0.25">
      <c r="A24" s="266" t="s">
        <v>322</v>
      </c>
      <c r="B24" s="390"/>
      <c r="C24" s="600">
        <f>(C23+F23)/2</f>
        <v>0.29428571428571426</v>
      </c>
      <c r="D24" s="338"/>
      <c r="E24" s="390"/>
      <c r="F24" s="347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workbookViewId="0">
      <selection activeCell="B5" sqref="B5"/>
    </sheetView>
  </sheetViews>
  <sheetFormatPr defaultRowHeight="13.8" x14ac:dyDescent="0.25"/>
  <cols>
    <col min="1" max="1" width="23.09765625" style="72" customWidth="1"/>
    <col min="2" max="2" width="8.09765625" style="72" customWidth="1"/>
    <col min="3" max="3" width="12.796875" style="72" customWidth="1"/>
    <col min="4" max="4" width="15.59765625" style="513" customWidth="1"/>
    <col min="5" max="5" width="8.796875" style="513"/>
    <col min="6" max="6" width="10.296875" style="549" bestFit="1" customWidth="1"/>
    <col min="7" max="8" width="0" style="72" hidden="1" customWidth="1"/>
    <col min="9" max="16384" width="8.796875" style="72"/>
  </cols>
  <sheetData>
    <row r="1" spans="1:8" x14ac:dyDescent="0.25">
      <c r="A1" s="87"/>
      <c r="B1" s="87"/>
      <c r="C1" s="69" t="s">
        <v>512</v>
      </c>
      <c r="D1" s="346"/>
      <c r="E1" s="346"/>
      <c r="F1" s="69" t="s">
        <v>513</v>
      </c>
    </row>
    <row r="2" spans="1:8" ht="21" x14ac:dyDescent="0.25">
      <c r="A2" s="1361" t="s">
        <v>376</v>
      </c>
      <c r="B2" s="76"/>
      <c r="C2" s="1292">
        <f>SUM(C3:C6)</f>
        <v>287.55</v>
      </c>
      <c r="D2" s="877"/>
      <c r="E2" s="877"/>
      <c r="F2" s="1292">
        <f>SUM(F3:F6)</f>
        <v>249.9</v>
      </c>
      <c r="G2" s="72">
        <v>238</v>
      </c>
      <c r="H2" s="72" t="s">
        <v>355</v>
      </c>
    </row>
    <row r="3" spans="1:8" ht="21" x14ac:dyDescent="0.25">
      <c r="A3" s="296" t="s">
        <v>377</v>
      </c>
      <c r="B3" s="89" t="s">
        <v>3</v>
      </c>
      <c r="C3" s="1293">
        <f>36</f>
        <v>36</v>
      </c>
      <c r="D3" s="89" t="s">
        <v>378</v>
      </c>
      <c r="E3" s="1294" t="s">
        <v>3</v>
      </c>
      <c r="F3" s="1293">
        <v>21</v>
      </c>
    </row>
    <row r="4" spans="1:8" ht="21" x14ac:dyDescent="0.4">
      <c r="A4" s="498" t="s">
        <v>888</v>
      </c>
      <c r="B4" s="1281" t="s">
        <v>3</v>
      </c>
      <c r="C4" s="961">
        <v>9</v>
      </c>
      <c r="D4" s="89" t="s">
        <v>380</v>
      </c>
      <c r="E4" s="1295" t="s">
        <v>3</v>
      </c>
      <c r="F4" s="1293">
        <v>21</v>
      </c>
    </row>
    <row r="5" spans="1:8" ht="21" x14ac:dyDescent="0.25">
      <c r="A5" s="285" t="s">
        <v>372</v>
      </c>
      <c r="B5" s="1281" t="s">
        <v>139</v>
      </c>
      <c r="C5" s="1041">
        <f>(1*6*0.33*15)+(1*8*0.33*50%*15)+(1*9*0.33*15)</f>
        <v>94.050000000000011</v>
      </c>
      <c r="D5" s="513" t="s">
        <v>373</v>
      </c>
      <c r="E5" s="1295" t="s">
        <v>236</v>
      </c>
      <c r="F5" s="1296">
        <f>(2*2*0.33*15)+(3*6*0.33*15)</f>
        <v>108.9</v>
      </c>
    </row>
    <row r="6" spans="1:8" ht="21.6" thickBot="1" x14ac:dyDescent="0.45">
      <c r="A6" s="1284" t="s">
        <v>373</v>
      </c>
      <c r="B6" s="1285" t="s">
        <v>236</v>
      </c>
      <c r="C6" s="889">
        <f>(1*2*0.33*15)+(4*6*0.33*15)+(4*1*0.33*15)</f>
        <v>148.5</v>
      </c>
      <c r="D6" s="1472" t="s">
        <v>372</v>
      </c>
      <c r="E6" s="991" t="s">
        <v>139</v>
      </c>
      <c r="F6" s="1296">
        <f>(3*0.33*15)+(6*0.33*50%*15)+(14*0.33*15)</f>
        <v>99</v>
      </c>
    </row>
    <row r="7" spans="1:8" ht="21" x14ac:dyDescent="0.25">
      <c r="A7" s="1473" t="s">
        <v>392</v>
      </c>
      <c r="B7" s="1436"/>
      <c r="C7" s="1419">
        <f>SUM(C8:C9)</f>
        <v>36</v>
      </c>
      <c r="D7" s="1437"/>
      <c r="E7" s="1438"/>
      <c r="F7" s="1439"/>
    </row>
    <row r="8" spans="1:8" ht="21" x14ac:dyDescent="0.4">
      <c r="A8" s="1301" t="s">
        <v>379</v>
      </c>
      <c r="B8" s="319" t="s">
        <v>3</v>
      </c>
      <c r="C8" s="1046">
        <v>18</v>
      </c>
      <c r="D8" s="1301"/>
      <c r="E8" s="319"/>
      <c r="F8" s="915"/>
    </row>
    <row r="9" spans="1:8" ht="21.6" thickBot="1" x14ac:dyDescent="0.45">
      <c r="A9" s="1470" t="s">
        <v>388</v>
      </c>
      <c r="B9" s="1440" t="s">
        <v>3</v>
      </c>
      <c r="C9" s="1107">
        <v>18</v>
      </c>
      <c r="D9" s="1441"/>
      <c r="E9" s="1396"/>
      <c r="F9" s="1442"/>
    </row>
    <row r="10" spans="1:8" s="80" customFormat="1" ht="21" x14ac:dyDescent="0.25">
      <c r="A10" s="102" t="s">
        <v>387</v>
      </c>
      <c r="B10" s="1300"/>
      <c r="C10" s="876">
        <f>SUM(C11:C15)</f>
        <v>151.94999999999999</v>
      </c>
      <c r="D10" s="358"/>
      <c r="E10" s="78"/>
      <c r="F10" s="1078">
        <f>SUM(F11:F12)</f>
        <v>69.3</v>
      </c>
    </row>
    <row r="11" spans="1:8" ht="21" x14ac:dyDescent="0.4">
      <c r="A11" s="1301" t="s">
        <v>379</v>
      </c>
      <c r="B11" s="1285" t="s">
        <v>1</v>
      </c>
      <c r="C11" s="1296">
        <v>9</v>
      </c>
      <c r="D11" s="1284" t="s">
        <v>373</v>
      </c>
      <c r="E11" s="1285" t="s">
        <v>236</v>
      </c>
      <c r="F11" s="1296">
        <f>2*0.33*15</f>
        <v>9.9</v>
      </c>
    </row>
    <row r="12" spans="1:8" ht="21" x14ac:dyDescent="0.4">
      <c r="A12" s="533" t="s">
        <v>388</v>
      </c>
      <c r="B12" s="1281" t="s">
        <v>1</v>
      </c>
      <c r="C12" s="961">
        <v>9</v>
      </c>
      <c r="D12" s="285" t="s">
        <v>372</v>
      </c>
      <c r="E12" s="73" t="s">
        <v>139</v>
      </c>
      <c r="F12" s="1041">
        <f>1*12*0.33*15</f>
        <v>59.4</v>
      </c>
    </row>
    <row r="13" spans="1:8" ht="21" x14ac:dyDescent="0.25">
      <c r="A13" s="1474" t="s">
        <v>372</v>
      </c>
      <c r="B13" s="89" t="s">
        <v>139</v>
      </c>
      <c r="C13" s="915">
        <f>(9*0.33*15)+(6*0.33*15)</f>
        <v>74.25</v>
      </c>
      <c r="D13" s="253"/>
      <c r="E13" s="253"/>
      <c r="F13" s="344"/>
    </row>
    <row r="14" spans="1:8" s="99" customFormat="1" ht="21" x14ac:dyDescent="0.4">
      <c r="A14" s="1284" t="s">
        <v>373</v>
      </c>
      <c r="B14" s="1285" t="s">
        <v>236</v>
      </c>
      <c r="C14" s="889">
        <f>6*0.33*15</f>
        <v>29.7</v>
      </c>
      <c r="D14" s="75"/>
      <c r="E14" s="75"/>
      <c r="F14" s="75"/>
    </row>
    <row r="15" spans="1:8" s="99" customFormat="1" ht="21.6" thickBot="1" x14ac:dyDescent="0.45">
      <c r="A15" s="513" t="s">
        <v>389</v>
      </c>
      <c r="B15" s="376" t="s">
        <v>1</v>
      </c>
      <c r="C15" s="1299">
        <v>30</v>
      </c>
      <c r="D15" s="1286"/>
      <c r="E15" s="89"/>
      <c r="F15" s="1003"/>
    </row>
    <row r="16" spans="1:8" ht="21" x14ac:dyDescent="0.25">
      <c r="A16" s="1092" t="s">
        <v>111</v>
      </c>
      <c r="B16" s="1443"/>
      <c r="C16" s="1106">
        <f>SUM(C17:C19)</f>
        <v>42.75</v>
      </c>
      <c r="D16" s="1444"/>
      <c r="E16" s="1196"/>
      <c r="F16" s="1449">
        <f>SUM(F17)</f>
        <v>19.8</v>
      </c>
    </row>
    <row r="17" spans="1:6" ht="21" x14ac:dyDescent="0.4">
      <c r="A17" s="1301" t="s">
        <v>379</v>
      </c>
      <c r="B17" s="1285" t="s">
        <v>1</v>
      </c>
      <c r="C17" s="1296">
        <v>9</v>
      </c>
      <c r="D17" s="1284" t="s">
        <v>373</v>
      </c>
      <c r="E17" s="1285" t="s">
        <v>236</v>
      </c>
      <c r="F17" s="889">
        <f>4*0.33*15</f>
        <v>19.8</v>
      </c>
    </row>
    <row r="18" spans="1:6" s="99" customFormat="1" ht="21" x14ac:dyDescent="0.4">
      <c r="A18" s="533" t="s">
        <v>388</v>
      </c>
      <c r="B18" s="1281" t="s">
        <v>1</v>
      </c>
      <c r="C18" s="961">
        <v>9</v>
      </c>
      <c r="D18" s="1290"/>
      <c r="E18" s="89"/>
      <c r="F18" s="1298"/>
    </row>
    <row r="19" spans="1:6" s="99" customFormat="1" ht="21.6" thickBot="1" x14ac:dyDescent="0.45">
      <c r="A19" s="1395" t="s">
        <v>373</v>
      </c>
      <c r="B19" s="1445" t="s">
        <v>236</v>
      </c>
      <c r="C19" s="1397">
        <f>5*0.33*15</f>
        <v>24.750000000000004</v>
      </c>
      <c r="D19" s="1441"/>
      <c r="E19" s="1396"/>
      <c r="F19" s="1442"/>
    </row>
    <row r="20" spans="1:6" ht="21" x14ac:dyDescent="0.25">
      <c r="A20" s="1060" t="s">
        <v>385</v>
      </c>
      <c r="B20" s="1287"/>
      <c r="C20" s="876">
        <f>SUM(C21:C22)</f>
        <v>90.45</v>
      </c>
      <c r="D20" s="100"/>
      <c r="E20" s="76"/>
      <c r="F20" s="1078">
        <f>SUM(F21:F22)</f>
        <v>78.45</v>
      </c>
    </row>
    <row r="21" spans="1:6" ht="21" x14ac:dyDescent="0.4">
      <c r="A21" s="1284" t="s">
        <v>386</v>
      </c>
      <c r="B21" s="89" t="s">
        <v>3</v>
      </c>
      <c r="C21" s="1296">
        <v>36</v>
      </c>
      <c r="D21" s="1284" t="s">
        <v>373</v>
      </c>
      <c r="E21" s="1285" t="s">
        <v>236</v>
      </c>
      <c r="F21" s="1296">
        <f>(5*0.33*15)+(6*0.33*15)</f>
        <v>54.45</v>
      </c>
    </row>
    <row r="22" spans="1:6" ht="21.6" thickBot="1" x14ac:dyDescent="0.45">
      <c r="A22" s="1284" t="s">
        <v>373</v>
      </c>
      <c r="B22" s="1285" t="s">
        <v>236</v>
      </c>
      <c r="C22" s="889">
        <f>(2*3*0.33*15)+(1*5*0.33*15)</f>
        <v>54.45</v>
      </c>
      <c r="D22" s="1286" t="s">
        <v>378</v>
      </c>
      <c r="E22" s="1285" t="s">
        <v>3</v>
      </c>
      <c r="F22" s="1296">
        <v>24</v>
      </c>
    </row>
    <row r="23" spans="1:6" ht="21" x14ac:dyDescent="0.25">
      <c r="A23" s="1446" t="s">
        <v>374</v>
      </c>
      <c r="B23" s="1443"/>
      <c r="C23" s="1447">
        <f>C24</f>
        <v>4.95</v>
      </c>
      <c r="D23" s="1367"/>
      <c r="E23" s="1448"/>
      <c r="F23" s="1452">
        <f>SUM(F24)</f>
        <v>4.95</v>
      </c>
    </row>
    <row r="24" spans="1:6" ht="21.6" thickBot="1" x14ac:dyDescent="0.3">
      <c r="A24" s="1177" t="s">
        <v>372</v>
      </c>
      <c r="B24" s="1440" t="s">
        <v>139</v>
      </c>
      <c r="C24" s="1450">
        <f>1*2*0.33*50%*15</f>
        <v>4.95</v>
      </c>
      <c r="D24" s="1149" t="s">
        <v>372</v>
      </c>
      <c r="E24" s="1201" t="s">
        <v>139</v>
      </c>
      <c r="F24" s="1062">
        <f>1*2*0.33*50%*15</f>
        <v>4.95</v>
      </c>
    </row>
    <row r="25" spans="1:6" ht="21" x14ac:dyDescent="0.25">
      <c r="A25" s="1430" t="s">
        <v>375</v>
      </c>
      <c r="B25" s="1287"/>
      <c r="C25" s="1297">
        <f>SUM(C26)</f>
        <v>44.550000000000004</v>
      </c>
      <c r="D25" s="86"/>
      <c r="E25" s="76"/>
      <c r="F25" s="1100"/>
    </row>
    <row r="26" spans="1:6" ht="21.6" thickBot="1" x14ac:dyDescent="0.3">
      <c r="A26" s="96" t="s">
        <v>372</v>
      </c>
      <c r="B26" s="319" t="s">
        <v>139</v>
      </c>
      <c r="C26" s="1431">
        <f>9*0.33*15</f>
        <v>44.550000000000004</v>
      </c>
      <c r="D26" s="96"/>
      <c r="E26" s="319"/>
      <c r="F26" s="1283"/>
    </row>
    <row r="27" spans="1:6" ht="21" x14ac:dyDescent="0.25">
      <c r="A27" s="1446" t="s">
        <v>271</v>
      </c>
      <c r="B27" s="1451"/>
      <c r="C27" s="1106">
        <f>SUM(C28:C29)</f>
        <v>84.45</v>
      </c>
      <c r="D27" s="1367"/>
      <c r="E27" s="1192"/>
      <c r="F27" s="1452">
        <f>SUM(F28:F29)</f>
        <v>114.15</v>
      </c>
    </row>
    <row r="28" spans="1:6" ht="21" x14ac:dyDescent="0.25">
      <c r="A28" s="92" t="s">
        <v>372</v>
      </c>
      <c r="B28" s="1281" t="s">
        <v>139</v>
      </c>
      <c r="C28" s="1041">
        <f>(1*2*0.33*50%*15)+(1*4*0.33*15)+(1*6*0.33*15)</f>
        <v>54.45</v>
      </c>
      <c r="D28" s="92" t="s">
        <v>372</v>
      </c>
      <c r="E28" s="1281" t="s">
        <v>139</v>
      </c>
      <c r="F28" s="1041">
        <f>(1*2*0.33*50%*15)+(1*5*0.33*15)+(1*2*0.33*15)+(1*9*0.33*15)</f>
        <v>84.15</v>
      </c>
    </row>
    <row r="29" spans="1:6" s="99" customFormat="1" ht="21.6" thickBot="1" x14ac:dyDescent="0.3">
      <c r="A29" s="1475" t="s">
        <v>381</v>
      </c>
      <c r="B29" s="1440" t="s">
        <v>3</v>
      </c>
      <c r="C29" s="1107">
        <v>30</v>
      </c>
      <c r="D29" s="1475" t="s">
        <v>381</v>
      </c>
      <c r="E29" s="1201" t="s">
        <v>3</v>
      </c>
      <c r="F29" s="1453">
        <v>30</v>
      </c>
    </row>
    <row r="30" spans="1:6" ht="21" x14ac:dyDescent="0.25">
      <c r="A30" s="1430" t="s">
        <v>382</v>
      </c>
      <c r="B30" s="1287"/>
      <c r="C30" s="876">
        <f>SUM(C31:C32)</f>
        <v>89.100000000000009</v>
      </c>
      <c r="D30" s="86"/>
      <c r="E30" s="76"/>
      <c r="F30" s="1282">
        <f>SUM(F31:F32)</f>
        <v>29.700000000000003</v>
      </c>
    </row>
    <row r="31" spans="1:6" ht="21" x14ac:dyDescent="0.25">
      <c r="A31" s="343" t="s">
        <v>372</v>
      </c>
      <c r="B31" s="319" t="s">
        <v>139</v>
      </c>
      <c r="C31" s="915">
        <f>(2*0.33*50%*15)+(11*0.33*15)</f>
        <v>59.400000000000006</v>
      </c>
      <c r="D31" s="343" t="s">
        <v>372</v>
      </c>
      <c r="E31" s="319" t="s">
        <v>139</v>
      </c>
      <c r="F31" s="1046">
        <f>(2*0.33*50%*15)</f>
        <v>4.95</v>
      </c>
    </row>
    <row r="32" spans="1:6" ht="21.6" thickBot="1" x14ac:dyDescent="0.45">
      <c r="A32" s="1301" t="s">
        <v>373</v>
      </c>
      <c r="B32" s="319" t="s">
        <v>236</v>
      </c>
      <c r="C32" s="915">
        <f>(5*0.33*15)+(1*0.33*15)</f>
        <v>29.700000000000003</v>
      </c>
      <c r="D32" s="1301" t="s">
        <v>373</v>
      </c>
      <c r="E32" s="319" t="s">
        <v>236</v>
      </c>
      <c r="F32" s="915">
        <f>5*0.33*15</f>
        <v>24.750000000000004</v>
      </c>
    </row>
    <row r="33" spans="1:6" ht="21" x14ac:dyDescent="0.4">
      <c r="A33" s="1476" t="s">
        <v>394</v>
      </c>
      <c r="B33" s="1443"/>
      <c r="C33" s="1106">
        <f>SUM(C34)</f>
        <v>4.95</v>
      </c>
      <c r="D33" s="1454"/>
      <c r="E33" s="1196"/>
      <c r="F33" s="1103">
        <f>SUM(F34)</f>
        <v>4.95</v>
      </c>
    </row>
    <row r="34" spans="1:6" ht="21.6" thickBot="1" x14ac:dyDescent="0.3">
      <c r="A34" s="1149" t="s">
        <v>372</v>
      </c>
      <c r="B34" s="1440" t="s">
        <v>139</v>
      </c>
      <c r="C34" s="1455">
        <f>(2*0.33*50%*15)</f>
        <v>4.95</v>
      </c>
      <c r="D34" s="1149" t="s">
        <v>372</v>
      </c>
      <c r="E34" s="1440" t="s">
        <v>139</v>
      </c>
      <c r="F34" s="1107">
        <f>(2*0.33*50%*15)</f>
        <v>4.95</v>
      </c>
    </row>
    <row r="35" spans="1:6" ht="21" x14ac:dyDescent="0.25">
      <c r="A35" s="1060" t="s">
        <v>384</v>
      </c>
      <c r="B35" s="1287"/>
      <c r="C35" s="876">
        <f>SUM(C36)</f>
        <v>59.4</v>
      </c>
      <c r="D35" s="86"/>
      <c r="E35" s="76"/>
      <c r="F35" s="1100">
        <f>SUM(F36)</f>
        <v>59.4</v>
      </c>
    </row>
    <row r="36" spans="1:6" ht="21.6" thickBot="1" x14ac:dyDescent="0.45">
      <c r="A36" s="1284" t="s">
        <v>373</v>
      </c>
      <c r="B36" s="1285" t="s">
        <v>236</v>
      </c>
      <c r="C36" s="889">
        <f>2*6*0.33*15</f>
        <v>59.4</v>
      </c>
      <c r="D36" s="1474" t="s">
        <v>373</v>
      </c>
      <c r="E36" s="1285" t="s">
        <v>236</v>
      </c>
      <c r="F36" s="889">
        <f>2*6*0.33*15</f>
        <v>59.4</v>
      </c>
    </row>
    <row r="37" spans="1:6" ht="21" x14ac:dyDescent="0.25">
      <c r="A37" s="1092" t="s">
        <v>390</v>
      </c>
      <c r="B37" s="1443"/>
      <c r="C37" s="1106">
        <f>SUM(C38)</f>
        <v>29.7</v>
      </c>
      <c r="D37" s="1398"/>
      <c r="E37" s="1196"/>
      <c r="F37" s="1449">
        <f>SUM(F38)</f>
        <v>9.9</v>
      </c>
    </row>
    <row r="38" spans="1:6" ht="21.6" thickBot="1" x14ac:dyDescent="0.45">
      <c r="A38" s="1395" t="s">
        <v>373</v>
      </c>
      <c r="B38" s="1445" t="s">
        <v>236</v>
      </c>
      <c r="C38" s="1456">
        <f>6*0.33*15</f>
        <v>29.7</v>
      </c>
      <c r="D38" s="1395" t="s">
        <v>373</v>
      </c>
      <c r="E38" s="1445" t="s">
        <v>236</v>
      </c>
      <c r="F38" s="1397">
        <f>2*0.33*15</f>
        <v>9.9</v>
      </c>
    </row>
    <row r="39" spans="1:6" s="80" customFormat="1" ht="21" x14ac:dyDescent="0.25">
      <c r="A39" s="1060" t="s">
        <v>391</v>
      </c>
      <c r="B39" s="1300"/>
      <c r="C39" s="876">
        <f>SUM(C40)</f>
        <v>14.85</v>
      </c>
      <c r="D39" s="358"/>
      <c r="E39" s="78"/>
      <c r="F39" s="1100">
        <f>SUM(F40)</f>
        <v>29.7</v>
      </c>
    </row>
    <row r="40" spans="1:6" ht="21.6" thickBot="1" x14ac:dyDescent="0.45">
      <c r="A40" s="1301" t="s">
        <v>373</v>
      </c>
      <c r="B40" s="319" t="s">
        <v>236</v>
      </c>
      <c r="C40" s="1046">
        <f>3*0.33*15</f>
        <v>14.85</v>
      </c>
      <c r="D40" s="1301" t="s">
        <v>373</v>
      </c>
      <c r="E40" s="319" t="s">
        <v>236</v>
      </c>
      <c r="F40" s="1046">
        <f>6*0.33*15</f>
        <v>29.7</v>
      </c>
    </row>
    <row r="41" spans="1:6" ht="21" x14ac:dyDescent="0.4">
      <c r="A41" s="1457" t="s">
        <v>393</v>
      </c>
      <c r="B41" s="1443"/>
      <c r="C41" s="1106">
        <f>SUM(C42)</f>
        <v>19.8</v>
      </c>
      <c r="D41" s="1444"/>
      <c r="E41" s="1196"/>
      <c r="F41" s="1095">
        <f>SUM(F42)</f>
        <v>14.85</v>
      </c>
    </row>
    <row r="42" spans="1:6" ht="21.6" thickBot="1" x14ac:dyDescent="0.3">
      <c r="A42" s="1149" t="s">
        <v>372</v>
      </c>
      <c r="B42" s="1440" t="s">
        <v>139</v>
      </c>
      <c r="C42" s="1107">
        <f>(8*0.33*50%*15)</f>
        <v>19.8</v>
      </c>
      <c r="D42" s="1467" t="s">
        <v>372</v>
      </c>
      <c r="E42" s="1458" t="s">
        <v>139</v>
      </c>
      <c r="F42" s="1456">
        <f>(6*0.33*50%*15)</f>
        <v>14.85</v>
      </c>
    </row>
    <row r="43" spans="1:6" ht="18" x14ac:dyDescent="0.25">
      <c r="A43" s="259" t="s">
        <v>320</v>
      </c>
      <c r="B43" s="100"/>
      <c r="C43" s="1435">
        <f>C2+C7+C10+C16+C20+C23+C25+C27+C30+C33+C35+C37+C39+C41</f>
        <v>960.45000000000016</v>
      </c>
      <c r="D43" s="86"/>
      <c r="E43" s="345"/>
      <c r="F43" s="1435">
        <f>F2+F7+F10+F16+F20+F23+F25+F27+F30+F33+F35+F37+F39+F41</f>
        <v>685.05000000000007</v>
      </c>
    </row>
    <row r="44" spans="1:6" ht="18" x14ac:dyDescent="0.25">
      <c r="A44" s="266" t="s">
        <v>321</v>
      </c>
      <c r="B44" s="74"/>
      <c r="C44" s="523">
        <f>C43/(15*35)</f>
        <v>1.8294285714285716</v>
      </c>
      <c r="D44" s="74"/>
      <c r="E44" s="346"/>
      <c r="F44" s="523">
        <f>F43/(15*35)</f>
        <v>1.3048571428571429</v>
      </c>
    </row>
    <row r="45" spans="1:6" ht="18" x14ac:dyDescent="0.25">
      <c r="A45" s="266" t="s">
        <v>322</v>
      </c>
      <c r="B45" s="74"/>
      <c r="C45" s="535">
        <f>(C44+F44)/2</f>
        <v>1.5671428571428572</v>
      </c>
      <c r="D45" s="74"/>
      <c r="E45" s="346"/>
      <c r="F45" s="337"/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workbookViewId="0">
      <selection sqref="A1:XFD1048576"/>
    </sheetView>
  </sheetViews>
  <sheetFormatPr defaultRowHeight="13.8" x14ac:dyDescent="0.25"/>
  <cols>
    <col min="1" max="1" width="20.3984375" style="72" customWidth="1"/>
    <col min="2" max="2" width="8.09765625" style="72" customWidth="1"/>
    <col min="3" max="3" width="12.796875" style="72" customWidth="1"/>
    <col min="4" max="4" width="15.59765625" style="513" customWidth="1"/>
    <col min="5" max="5" width="8.796875" style="513"/>
    <col min="6" max="6" width="10.296875" style="549" bestFit="1" customWidth="1"/>
    <col min="7" max="8" width="0" style="72" hidden="1" customWidth="1"/>
    <col min="9" max="16384" width="8.796875" style="72"/>
  </cols>
  <sheetData>
    <row r="1" spans="1:8" x14ac:dyDescent="0.25">
      <c r="A1" s="87"/>
      <c r="B1" s="87"/>
      <c r="C1" s="69" t="s">
        <v>512</v>
      </c>
      <c r="D1" s="346"/>
      <c r="E1" s="346"/>
      <c r="F1" s="69" t="s">
        <v>513</v>
      </c>
    </row>
    <row r="2" spans="1:8" ht="21" x14ac:dyDescent="0.4">
      <c r="A2" s="1433" t="s">
        <v>395</v>
      </c>
      <c r="B2" s="73"/>
      <c r="C2" s="1282">
        <f>SUM(C5:C11)</f>
        <v>235.2</v>
      </c>
      <c r="D2" s="877"/>
      <c r="E2" s="877"/>
      <c r="F2" s="623">
        <f>SUM(F5:F8)</f>
        <v>153.9</v>
      </c>
      <c r="G2" s="72">
        <v>238</v>
      </c>
      <c r="H2" s="72" t="s">
        <v>355</v>
      </c>
    </row>
    <row r="3" spans="1:8" hidden="1" x14ac:dyDescent="0.25">
      <c r="A3" s="75" t="s">
        <v>358</v>
      </c>
      <c r="B3" s="75" t="s">
        <v>1</v>
      </c>
      <c r="C3" s="332">
        <f>1*15</f>
        <v>15</v>
      </c>
      <c r="D3" s="376"/>
      <c r="E3" s="315"/>
      <c r="F3" s="332"/>
    </row>
    <row r="4" spans="1:8" hidden="1" x14ac:dyDescent="0.25">
      <c r="A4" s="289" t="s">
        <v>359</v>
      </c>
      <c r="B4" s="289" t="s">
        <v>1</v>
      </c>
      <c r="C4" s="332">
        <f>1*15</f>
        <v>15</v>
      </c>
      <c r="D4" s="539" t="s">
        <v>358</v>
      </c>
      <c r="E4" s="315" t="s">
        <v>1</v>
      </c>
      <c r="F4" s="332">
        <f>1*15</f>
        <v>15</v>
      </c>
    </row>
    <row r="5" spans="1:8" ht="21" x14ac:dyDescent="0.25">
      <c r="A5" s="296" t="s">
        <v>377</v>
      </c>
      <c r="B5" s="89" t="s">
        <v>3</v>
      </c>
      <c r="C5" s="1293">
        <v>9</v>
      </c>
      <c r="D5" s="343" t="s">
        <v>372</v>
      </c>
      <c r="E5" s="319" t="s">
        <v>139</v>
      </c>
      <c r="F5" s="1431">
        <f>(2*0.33*50%*15)+(6*0.33*15)+(8*0.33*50%*15)</f>
        <v>54.45</v>
      </c>
    </row>
    <row r="6" spans="1:8" ht="21" x14ac:dyDescent="0.4">
      <c r="A6" s="1301" t="s">
        <v>379</v>
      </c>
      <c r="B6" s="319" t="s">
        <v>1</v>
      </c>
      <c r="C6" s="1046">
        <v>9</v>
      </c>
      <c r="D6" s="533" t="s">
        <v>373</v>
      </c>
      <c r="E6" s="1281" t="s">
        <v>236</v>
      </c>
      <c r="F6" s="961">
        <f>(3*2*0.33*15)+(2*1*0.33*15)+(1*3*0.33*15)</f>
        <v>54.45</v>
      </c>
    </row>
    <row r="7" spans="1:8" ht="21" x14ac:dyDescent="0.4">
      <c r="A7" s="1301" t="s">
        <v>386</v>
      </c>
      <c r="B7" s="296" t="s">
        <v>3</v>
      </c>
      <c r="C7" s="957">
        <v>9</v>
      </c>
      <c r="D7" s="533" t="s">
        <v>383</v>
      </c>
      <c r="E7" s="1281" t="s">
        <v>3</v>
      </c>
      <c r="F7" s="961">
        <v>21</v>
      </c>
    </row>
    <row r="8" spans="1:8" ht="21" x14ac:dyDescent="0.4">
      <c r="A8" s="533" t="s">
        <v>388</v>
      </c>
      <c r="B8" s="1281" t="s">
        <v>1</v>
      </c>
      <c r="C8" s="1288">
        <v>9</v>
      </c>
      <c r="D8" s="498" t="s">
        <v>380</v>
      </c>
      <c r="E8" s="1281" t="s">
        <v>3</v>
      </c>
      <c r="F8" s="961">
        <v>24</v>
      </c>
    </row>
    <row r="9" spans="1:8" ht="21" x14ac:dyDescent="0.4">
      <c r="A9" s="498" t="s">
        <v>888</v>
      </c>
      <c r="B9" s="1281" t="s">
        <v>3</v>
      </c>
      <c r="C9" s="961">
        <v>21</v>
      </c>
      <c r="D9" s="1286"/>
      <c r="E9" s="1285"/>
      <c r="F9" s="889"/>
    </row>
    <row r="10" spans="1:8" ht="21" x14ac:dyDescent="0.4">
      <c r="A10" s="96" t="s">
        <v>372</v>
      </c>
      <c r="B10" s="319" t="s">
        <v>139</v>
      </c>
      <c r="C10" s="1283">
        <f>(2*0.33*50%*15)+(10*0.33*50%*15)</f>
        <v>29.700000000000003</v>
      </c>
      <c r="D10" s="1286"/>
      <c r="E10" s="1285"/>
      <c r="F10" s="889"/>
    </row>
    <row r="11" spans="1:8" ht="21.6" thickBot="1" x14ac:dyDescent="0.45">
      <c r="A11" s="96" t="s">
        <v>373</v>
      </c>
      <c r="B11" s="319" t="s">
        <v>236</v>
      </c>
      <c r="C11" s="1283">
        <f>(2*2*0.33*15)+(2*1*0.33*15)+(4*6*0.33*15)</f>
        <v>148.5</v>
      </c>
      <c r="D11" s="1286"/>
      <c r="E11" s="1285"/>
      <c r="F11" s="889"/>
    </row>
    <row r="12" spans="1:8" ht="21" x14ac:dyDescent="0.4">
      <c r="A12" s="1461" t="s">
        <v>398</v>
      </c>
      <c r="B12" s="1425"/>
      <c r="C12" s="1103">
        <f>SUM(C13:C14)</f>
        <v>94.2</v>
      </c>
      <c r="D12" s="1131"/>
      <c r="E12" s="1462"/>
      <c r="F12" s="1134">
        <f>SUM(F13)</f>
        <v>44.550000000000004</v>
      </c>
    </row>
    <row r="13" spans="1:8" ht="21" x14ac:dyDescent="0.4">
      <c r="A13" s="498" t="s">
        <v>888</v>
      </c>
      <c r="B13" s="1281" t="s">
        <v>3</v>
      </c>
      <c r="C13" s="961">
        <v>15</v>
      </c>
      <c r="D13" s="1284" t="s">
        <v>373</v>
      </c>
      <c r="E13" s="1285" t="s">
        <v>236</v>
      </c>
      <c r="F13" s="915">
        <f>(4*0.33*15)+(5*0.33*15)</f>
        <v>44.550000000000004</v>
      </c>
    </row>
    <row r="14" spans="1:8" s="99" customFormat="1" ht="21.6" thickBot="1" x14ac:dyDescent="0.45">
      <c r="A14" s="1470" t="s">
        <v>373</v>
      </c>
      <c r="B14" s="1440" t="s">
        <v>236</v>
      </c>
      <c r="C14" s="1107">
        <f>(1*4*0.33*15)+(2*6*0.33*15)</f>
        <v>79.2</v>
      </c>
      <c r="D14" s="1441"/>
      <c r="E14" s="1445"/>
      <c r="F14" s="1397"/>
    </row>
    <row r="15" spans="1:8" x14ac:dyDescent="0.25">
      <c r="A15" s="1060" t="s">
        <v>396</v>
      </c>
      <c r="B15" s="102"/>
      <c r="C15" s="704">
        <f>SUM(C16)</f>
        <v>49.500000000000007</v>
      </c>
      <c r="D15" s="514"/>
      <c r="E15" s="377"/>
      <c r="F15" s="704"/>
    </row>
    <row r="16" spans="1:8" ht="21" x14ac:dyDescent="0.25">
      <c r="A16" s="96" t="s">
        <v>372</v>
      </c>
      <c r="B16" s="319" t="s">
        <v>139</v>
      </c>
      <c r="C16" s="915">
        <f>(9*0.33*15)+(2*0.33*50%*15)</f>
        <v>49.500000000000007</v>
      </c>
      <c r="D16" s="96"/>
      <c r="E16" s="319"/>
      <c r="F16" s="915"/>
      <c r="G16" s="72">
        <v>238</v>
      </c>
      <c r="H16" s="72" t="s">
        <v>355</v>
      </c>
    </row>
    <row r="17" spans="1:6" ht="21.6" thickBot="1" x14ac:dyDescent="0.45">
      <c r="A17" s="1284"/>
      <c r="B17" s="1285"/>
      <c r="C17" s="889"/>
      <c r="D17" s="1284"/>
      <c r="E17" s="1285"/>
      <c r="F17" s="889"/>
    </row>
    <row r="18" spans="1:6" x14ac:dyDescent="0.25">
      <c r="A18" s="1463" t="s">
        <v>397</v>
      </c>
      <c r="B18" s="1418"/>
      <c r="C18" s="1464">
        <f>SUM(C19:C20)</f>
        <v>114.84</v>
      </c>
      <c r="D18" s="1420"/>
      <c r="E18" s="1465"/>
      <c r="F18" s="1088">
        <f>SUM(F19:F21)</f>
        <v>172.005</v>
      </c>
    </row>
    <row r="19" spans="1:6" ht="21" x14ac:dyDescent="0.25">
      <c r="A19" s="92" t="s">
        <v>372</v>
      </c>
      <c r="B19" s="1281" t="s">
        <v>139</v>
      </c>
      <c r="C19" s="961">
        <f>(8*0.33*15)+(6*0.33*15)+(6*0.33*70%*15)</f>
        <v>90.09</v>
      </c>
      <c r="D19" s="285" t="s">
        <v>372</v>
      </c>
      <c r="E19" s="1281" t="s">
        <v>139</v>
      </c>
      <c r="F19" s="1052">
        <f>(5*0.33*15)+(14*0.33*15)+(7*0.33*70%*15)</f>
        <v>118.30499999999999</v>
      </c>
    </row>
    <row r="20" spans="1:6" ht="19.2" customHeight="1" x14ac:dyDescent="0.4">
      <c r="A20" s="533" t="s">
        <v>373</v>
      </c>
      <c r="B20" s="1281" t="s">
        <v>236</v>
      </c>
      <c r="C20" s="961">
        <f>(1*5*0.33*15)</f>
        <v>24.750000000000004</v>
      </c>
      <c r="D20" s="533" t="s">
        <v>373</v>
      </c>
      <c r="E20" s="1281" t="s">
        <v>236</v>
      </c>
      <c r="F20" s="961">
        <f>(3*2*0.33*15)</f>
        <v>29.7</v>
      </c>
    </row>
    <row r="21" spans="1:6" s="99" customFormat="1" ht="21.6" thickBot="1" x14ac:dyDescent="0.45">
      <c r="A21" s="1466"/>
      <c r="B21" s="1445"/>
      <c r="C21" s="1397"/>
      <c r="D21" s="1395" t="s">
        <v>383</v>
      </c>
      <c r="E21" s="1467" t="s">
        <v>3</v>
      </c>
      <c r="F21" s="1397">
        <v>24</v>
      </c>
    </row>
    <row r="22" spans="1:6" s="99" customFormat="1" ht="21" x14ac:dyDescent="0.4">
      <c r="A22" s="1471" t="s">
        <v>927</v>
      </c>
      <c r="B22" s="304"/>
      <c r="C22" s="364">
        <f>SUM(C23)</f>
        <v>8.91</v>
      </c>
      <c r="D22" s="1432"/>
      <c r="E22" s="1289"/>
      <c r="F22" s="873">
        <f>SUM(F23)</f>
        <v>10.395</v>
      </c>
    </row>
    <row r="23" spans="1:6" s="99" customFormat="1" ht="21.6" thickBot="1" x14ac:dyDescent="0.3">
      <c r="A23" s="96" t="s">
        <v>372</v>
      </c>
      <c r="B23" s="319" t="s">
        <v>139</v>
      </c>
      <c r="C23" s="915">
        <f>6*0.33*30%*15</f>
        <v>8.91</v>
      </c>
      <c r="D23" s="343" t="s">
        <v>372</v>
      </c>
      <c r="E23" s="319" t="s">
        <v>139</v>
      </c>
      <c r="F23" s="1434">
        <f>7*0.33*30%*15</f>
        <v>10.395</v>
      </c>
    </row>
    <row r="24" spans="1:6" x14ac:dyDescent="0.25">
      <c r="A24" s="1108" t="s">
        <v>399</v>
      </c>
      <c r="B24" s="1195"/>
      <c r="C24" s="1108">
        <f>SUM(C25)</f>
        <v>9.9</v>
      </c>
      <c r="D24" s="1462"/>
      <c r="E24" s="1131"/>
      <c r="F24" s="1447">
        <f>SUM(F25)</f>
        <v>9.9</v>
      </c>
    </row>
    <row r="25" spans="1:6" ht="21.6" thickBot="1" x14ac:dyDescent="0.45">
      <c r="A25" s="1470" t="s">
        <v>373</v>
      </c>
      <c r="B25" s="1445" t="s">
        <v>236</v>
      </c>
      <c r="C25" s="1455">
        <f>(2*0.33*15)</f>
        <v>9.9</v>
      </c>
      <c r="D25" s="1395" t="s">
        <v>373</v>
      </c>
      <c r="E25" s="1445" t="s">
        <v>236</v>
      </c>
      <c r="F25" s="1455">
        <f>(2*0.33*15)</f>
        <v>9.9</v>
      </c>
    </row>
    <row r="26" spans="1:6" ht="21" x14ac:dyDescent="0.4">
      <c r="A26" s="1319" t="s">
        <v>928</v>
      </c>
      <c r="B26" s="102"/>
      <c r="C26" s="1459">
        <f>SUM(C27:C28)</f>
        <v>69.3</v>
      </c>
      <c r="D26" s="1460"/>
      <c r="E26" s="102"/>
      <c r="F26" s="1459">
        <f>SUM(F27:F28)</f>
        <v>74.25</v>
      </c>
    </row>
    <row r="27" spans="1:6" ht="21" x14ac:dyDescent="0.25">
      <c r="A27" s="285" t="s">
        <v>372</v>
      </c>
      <c r="B27" s="1281" t="s">
        <v>139</v>
      </c>
      <c r="C27" s="1041">
        <f>10*0.33*50%*15</f>
        <v>24.750000000000004</v>
      </c>
      <c r="D27" s="285" t="s">
        <v>372</v>
      </c>
      <c r="E27" s="1281" t="s">
        <v>139</v>
      </c>
      <c r="F27" s="1041">
        <f>8*0.33*50%*15</f>
        <v>19.8</v>
      </c>
    </row>
    <row r="28" spans="1:6" ht="21.6" thickBot="1" x14ac:dyDescent="0.45">
      <c r="A28" s="1470" t="s">
        <v>373</v>
      </c>
      <c r="B28" s="1440" t="s">
        <v>236</v>
      </c>
      <c r="C28" s="1455">
        <f>(6*0.33*15)+(3*0.33*15)</f>
        <v>44.55</v>
      </c>
      <c r="D28" s="1470" t="s">
        <v>373</v>
      </c>
      <c r="E28" s="1440" t="s">
        <v>236</v>
      </c>
      <c r="F28" s="1455">
        <f>(6*0.33*15)+(5*0.33*15)</f>
        <v>54.45</v>
      </c>
    </row>
    <row r="29" spans="1:6" ht="18" x14ac:dyDescent="0.25">
      <c r="A29" s="259" t="s">
        <v>320</v>
      </c>
      <c r="B29" s="100"/>
      <c r="C29" s="1468">
        <f>C2+C12+C15+C18+C22+C24+C26</f>
        <v>581.85</v>
      </c>
      <c r="D29" s="86"/>
      <c r="E29" s="345"/>
      <c r="F29" s="1468">
        <f>F2+F12+F15+F18+F22+F24+F26</f>
        <v>465</v>
      </c>
    </row>
    <row r="30" spans="1:6" ht="18" x14ac:dyDescent="0.25">
      <c r="A30" s="266" t="s">
        <v>321</v>
      </c>
      <c r="B30" s="74"/>
      <c r="C30" s="523">
        <f>C29/(15*35)</f>
        <v>1.1082857142857143</v>
      </c>
      <c r="D30" s="74"/>
      <c r="E30" s="346"/>
      <c r="F30" s="523">
        <f>F29/(15*35)</f>
        <v>0.88571428571428568</v>
      </c>
    </row>
    <row r="31" spans="1:6" ht="18" x14ac:dyDescent="0.25">
      <c r="A31" s="266" t="s">
        <v>322</v>
      </c>
      <c r="B31" s="74"/>
      <c r="C31" s="1469">
        <f>(C30+F30)/2</f>
        <v>0.997</v>
      </c>
      <c r="D31" s="74"/>
      <c r="E31" s="346"/>
      <c r="F31" s="33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M29" sqref="M29"/>
    </sheetView>
  </sheetViews>
  <sheetFormatPr defaultRowHeight="13.8" x14ac:dyDescent="0.25"/>
  <cols>
    <col min="1" max="1" width="23.09765625" customWidth="1"/>
    <col min="2" max="2" width="8.09765625" customWidth="1"/>
    <col min="3" max="3" width="12.796875" customWidth="1"/>
    <col min="4" max="4" width="15.59765625" style="298" customWidth="1"/>
    <col min="5" max="5" width="8.796875" style="298"/>
    <col min="6" max="6" width="10.296875" style="232" bestFit="1" customWidth="1"/>
    <col min="7" max="8" width="0" hidden="1" customWidth="1"/>
  </cols>
  <sheetData>
    <row r="1" spans="1:8" s="54" customFormat="1" ht="25.05" customHeight="1" x14ac:dyDescent="0.25">
      <c r="A1" s="1291"/>
      <c r="B1" s="29"/>
      <c r="C1" s="365" t="s">
        <v>512</v>
      </c>
      <c r="D1" s="334"/>
      <c r="E1" s="334"/>
      <c r="F1" s="365" t="s">
        <v>513</v>
      </c>
    </row>
    <row r="2" spans="1:8" ht="21" x14ac:dyDescent="0.25">
      <c r="A2" s="1361" t="s">
        <v>400</v>
      </c>
      <c r="B2" s="14"/>
      <c r="C2" s="311">
        <f>SUM(C3:C3)</f>
        <v>45</v>
      </c>
      <c r="D2" s="290"/>
      <c r="E2" s="326"/>
      <c r="F2" s="297">
        <f>SUM(F3:F3)</f>
        <v>18</v>
      </c>
    </row>
    <row r="3" spans="1:8" ht="21.6" thickBot="1" x14ac:dyDescent="0.3">
      <c r="A3" s="227" t="s">
        <v>401</v>
      </c>
      <c r="B3" s="1" t="s">
        <v>3</v>
      </c>
      <c r="C3" s="348">
        <v>45</v>
      </c>
      <c r="D3" s="227" t="s">
        <v>402</v>
      </c>
      <c r="E3" s="1" t="s">
        <v>3</v>
      </c>
      <c r="F3" s="348">
        <v>18</v>
      </c>
    </row>
    <row r="4" spans="1:8" ht="21" x14ac:dyDescent="0.25">
      <c r="A4" s="1365" t="s">
        <v>403</v>
      </c>
      <c r="B4" s="1366"/>
      <c r="C4" s="1236">
        <f>C5</f>
        <v>42</v>
      </c>
      <c r="D4" s="1367"/>
      <c r="E4" s="1368"/>
      <c r="F4" s="1369"/>
    </row>
    <row r="5" spans="1:8" ht="21.6" thickBot="1" x14ac:dyDescent="0.3">
      <c r="A5" s="1370" t="s">
        <v>404</v>
      </c>
      <c r="B5" s="1371" t="s">
        <v>3</v>
      </c>
      <c r="C5" s="1372">
        <v>42</v>
      </c>
      <c r="D5" s="1373"/>
      <c r="E5" s="1230"/>
      <c r="F5" s="1372"/>
    </row>
    <row r="6" spans="1:8" ht="21" x14ac:dyDescent="0.25">
      <c r="A6" s="1360" t="s">
        <v>405</v>
      </c>
      <c r="B6" s="16"/>
      <c r="C6" s="320">
        <f>C7</f>
        <v>15</v>
      </c>
      <c r="D6" s="86"/>
      <c r="E6" s="287"/>
      <c r="F6" s="331"/>
    </row>
    <row r="7" spans="1:8" ht="21.6" thickBot="1" x14ac:dyDescent="0.3">
      <c r="A7" s="367" t="s">
        <v>406</v>
      </c>
      <c r="B7" s="1" t="s">
        <v>3</v>
      </c>
      <c r="C7" s="371">
        <v>15</v>
      </c>
      <c r="D7" s="227"/>
      <c r="E7" s="1"/>
      <c r="F7" s="362"/>
    </row>
    <row r="8" spans="1:8" ht="21" x14ac:dyDescent="0.4">
      <c r="A8" s="1374" t="s">
        <v>407</v>
      </c>
      <c r="B8" s="1375"/>
      <c r="C8" s="1236">
        <f>SUM(C9:C10)</f>
        <v>15</v>
      </c>
      <c r="D8" s="1376"/>
      <c r="E8" s="1376"/>
      <c r="F8" s="1236"/>
      <c r="G8" s="240">
        <v>238</v>
      </c>
      <c r="H8" s="240" t="s">
        <v>355</v>
      </c>
    </row>
    <row r="9" spans="1:8" ht="21" x14ac:dyDescent="0.25">
      <c r="A9" s="13" t="s">
        <v>406</v>
      </c>
      <c r="B9" s="308" t="s">
        <v>3</v>
      </c>
      <c r="C9" s="335">
        <v>9</v>
      </c>
      <c r="D9" s="50"/>
      <c r="E9" s="317"/>
      <c r="F9" s="293"/>
    </row>
    <row r="10" spans="1:8" ht="21.6" thickBot="1" x14ac:dyDescent="0.45">
      <c r="A10" s="1377" t="s">
        <v>918</v>
      </c>
      <c r="B10" s="1371" t="s">
        <v>3</v>
      </c>
      <c r="C10" s="1378">
        <v>6</v>
      </c>
      <c r="D10" s="1232"/>
      <c r="E10" s="1379"/>
      <c r="F10" s="1380"/>
    </row>
    <row r="11" spans="1:8" ht="21" x14ac:dyDescent="0.4">
      <c r="A11" s="1318" t="s">
        <v>916</v>
      </c>
      <c r="B11" s="287"/>
      <c r="C11" s="320">
        <f>SUM(C12:C12)</f>
        <v>3</v>
      </c>
      <c r="D11" s="1325"/>
      <c r="E11" s="307"/>
      <c r="F11" s="320"/>
      <c r="G11" s="240">
        <v>238</v>
      </c>
      <c r="H11" s="240" t="s">
        <v>355</v>
      </c>
    </row>
    <row r="12" spans="1:8" ht="21.6" thickBot="1" x14ac:dyDescent="0.3">
      <c r="A12" s="5" t="s">
        <v>406</v>
      </c>
      <c r="B12" s="308" t="s">
        <v>3</v>
      </c>
      <c r="C12" s="335">
        <v>3</v>
      </c>
      <c r="D12" s="50"/>
      <c r="E12" s="317"/>
      <c r="F12" s="293"/>
    </row>
    <row r="13" spans="1:8" ht="21" x14ac:dyDescent="0.4">
      <c r="A13" s="1374" t="s">
        <v>408</v>
      </c>
      <c r="B13" s="1381"/>
      <c r="C13" s="1220">
        <f>SUM(C14:C15)</f>
        <v>147.75</v>
      </c>
      <c r="D13" s="1367"/>
      <c r="E13" s="1382"/>
      <c r="F13" s="1383">
        <f>F14</f>
        <v>153.44999999999999</v>
      </c>
    </row>
    <row r="14" spans="1:8" ht="21" x14ac:dyDescent="0.25">
      <c r="A14" s="367" t="s">
        <v>409</v>
      </c>
      <c r="B14" s="1" t="s">
        <v>3</v>
      </c>
      <c r="C14" s="348">
        <v>24</v>
      </c>
      <c r="D14" s="1384" t="s">
        <v>410</v>
      </c>
      <c r="E14" s="1" t="s">
        <v>236</v>
      </c>
      <c r="F14" s="353">
        <f>(4*6*0.33*15)+(1*2*0.33*15)+(1*5*0.33*15)</f>
        <v>153.44999999999999</v>
      </c>
    </row>
    <row r="15" spans="1:8" s="217" customFormat="1" ht="21.6" thickBot="1" x14ac:dyDescent="0.45">
      <c r="A15" s="1377" t="s">
        <v>410</v>
      </c>
      <c r="B15" s="1371" t="s">
        <v>236</v>
      </c>
      <c r="C15" s="1385">
        <f>(3*6*0.33*15)+(1*2*0.33*15)+(1*5*0.33*15)</f>
        <v>123.75000000000001</v>
      </c>
      <c r="D15" s="1386"/>
      <c r="E15" s="1232"/>
      <c r="F15" s="1387"/>
    </row>
    <row r="16" spans="1:8" ht="21" x14ac:dyDescent="0.4">
      <c r="A16" s="1318" t="s">
        <v>411</v>
      </c>
      <c r="B16" s="16"/>
      <c r="C16" s="306">
        <f>SUM(C17:C18)</f>
        <v>119.25</v>
      </c>
      <c r="D16" s="86"/>
      <c r="E16" s="287"/>
      <c r="F16" s="1356">
        <f>F17</f>
        <v>74.25</v>
      </c>
    </row>
    <row r="17" spans="1:8" ht="21" x14ac:dyDescent="0.25">
      <c r="A17" s="227" t="s">
        <v>917</v>
      </c>
      <c r="B17" s="1" t="s">
        <v>3</v>
      </c>
      <c r="C17" s="348">
        <v>45</v>
      </c>
      <c r="D17" s="367" t="s">
        <v>410</v>
      </c>
      <c r="E17" s="1" t="s">
        <v>236</v>
      </c>
      <c r="F17" s="354">
        <f>(3*5*0.33*15)</f>
        <v>74.25</v>
      </c>
    </row>
    <row r="18" spans="1:8" ht="21.6" thickBot="1" x14ac:dyDescent="0.45">
      <c r="A18" s="352" t="s">
        <v>410</v>
      </c>
      <c r="B18" s="19" t="s">
        <v>236</v>
      </c>
      <c r="C18" s="351">
        <f>3*5*0.33*15</f>
        <v>74.25</v>
      </c>
      <c r="D18" s="352"/>
      <c r="E18" s="19"/>
      <c r="F18" s="353"/>
    </row>
    <row r="19" spans="1:8" s="54" customFormat="1" ht="21" x14ac:dyDescent="0.25">
      <c r="A19" s="1388" t="s">
        <v>413</v>
      </c>
      <c r="B19" s="1381"/>
      <c r="C19" s="1220">
        <f>SUM(C20:C21)</f>
        <v>38.700000000000003</v>
      </c>
      <c r="D19" s="1367"/>
      <c r="E19" s="1382"/>
      <c r="F19" s="1383">
        <f>SUM(F20:F21)</f>
        <v>34.700000000000003</v>
      </c>
    </row>
    <row r="20" spans="1:8" ht="21" x14ac:dyDescent="0.4">
      <c r="A20" s="352" t="s">
        <v>918</v>
      </c>
      <c r="B20" s="19" t="s">
        <v>3</v>
      </c>
      <c r="C20" s="351">
        <v>9</v>
      </c>
      <c r="D20" s="352" t="s">
        <v>414</v>
      </c>
      <c r="E20" s="19" t="s">
        <v>3</v>
      </c>
      <c r="F20" s="351">
        <v>5</v>
      </c>
    </row>
    <row r="21" spans="1:8" ht="21.6" thickBot="1" x14ac:dyDescent="0.3">
      <c r="A21" s="1386" t="s">
        <v>920</v>
      </c>
      <c r="B21" s="1232" t="s">
        <v>236</v>
      </c>
      <c r="C21" s="1378">
        <f>1*6*0.33*15</f>
        <v>29.7</v>
      </c>
      <c r="D21" s="1389" t="s">
        <v>920</v>
      </c>
      <c r="E21" s="1390" t="s">
        <v>236</v>
      </c>
      <c r="F21" s="1385">
        <f>1*6*0.33*15</f>
        <v>29.7</v>
      </c>
    </row>
    <row r="22" spans="1:8" ht="21" x14ac:dyDescent="0.4">
      <c r="A22" s="1351" t="s">
        <v>919</v>
      </c>
      <c r="B22" s="287"/>
      <c r="C22" s="320">
        <f>SUM(C23:C23)</f>
        <v>6</v>
      </c>
      <c r="D22" s="1325"/>
      <c r="E22" s="307"/>
      <c r="F22" s="313"/>
      <c r="G22" s="240">
        <v>238</v>
      </c>
      <c r="H22" s="240" t="s">
        <v>355</v>
      </c>
    </row>
    <row r="23" spans="1:8" ht="21.6" thickBot="1" x14ac:dyDescent="0.45">
      <c r="A23" s="352" t="s">
        <v>918</v>
      </c>
      <c r="B23" s="19" t="s">
        <v>3</v>
      </c>
      <c r="C23" s="351">
        <v>6</v>
      </c>
      <c r="D23" s="308"/>
      <c r="E23" s="317"/>
      <c r="F23" s="1362"/>
    </row>
    <row r="24" spans="1:8" s="54" customFormat="1" ht="21" x14ac:dyDescent="0.4">
      <c r="A24" s="1391" t="s">
        <v>308</v>
      </c>
      <c r="B24" s="1381"/>
      <c r="C24" s="1220"/>
      <c r="D24" s="1367"/>
      <c r="E24" s="1382"/>
      <c r="F24" s="1383">
        <f>SUM(F25:F26)</f>
        <v>37.700000000000003</v>
      </c>
    </row>
    <row r="25" spans="1:8" ht="21" x14ac:dyDescent="0.4">
      <c r="A25" s="1353" t="s">
        <v>926</v>
      </c>
      <c r="B25" s="1354" t="s">
        <v>1</v>
      </c>
      <c r="C25" s="356"/>
      <c r="D25" s="336" t="s">
        <v>414</v>
      </c>
      <c r="E25" s="14" t="s">
        <v>3</v>
      </c>
      <c r="F25" s="369">
        <v>8</v>
      </c>
    </row>
    <row r="26" spans="1:8" ht="21.6" thickBot="1" x14ac:dyDescent="0.45">
      <c r="A26" s="1392"/>
      <c r="B26" s="1393"/>
      <c r="C26" s="1394"/>
      <c r="D26" s="1395" t="s">
        <v>410</v>
      </c>
      <c r="E26" s="1396" t="s">
        <v>236</v>
      </c>
      <c r="F26" s="1397">
        <f>(1*6*0.33*15)</f>
        <v>29.7</v>
      </c>
    </row>
    <row r="27" spans="1:8" ht="21" x14ac:dyDescent="0.4">
      <c r="A27" s="1363" t="s">
        <v>307</v>
      </c>
      <c r="B27" s="16"/>
      <c r="C27" s="306">
        <f>SUM(C28)</f>
        <v>69.3</v>
      </c>
      <c r="D27" s="86"/>
      <c r="E27" s="287"/>
      <c r="F27" s="331">
        <f>SUM(F28:F29)</f>
        <v>161.4</v>
      </c>
    </row>
    <row r="28" spans="1:8" ht="21" x14ac:dyDescent="0.4">
      <c r="A28" s="355" t="s">
        <v>410</v>
      </c>
      <c r="B28" s="16" t="s">
        <v>236</v>
      </c>
      <c r="C28" s="356">
        <f>(1*5*0.33*15)+(1*6*0.33*15)+(1*3*0.33*15)</f>
        <v>69.3</v>
      </c>
      <c r="D28" s="305" t="s">
        <v>918</v>
      </c>
      <c r="E28" s="309" t="s">
        <v>3</v>
      </c>
      <c r="F28" s="1350">
        <v>3</v>
      </c>
    </row>
    <row r="29" spans="1:8" ht="21" x14ac:dyDescent="0.25">
      <c r="A29" s="217" t="s">
        <v>920</v>
      </c>
      <c r="B29" s="50" t="s">
        <v>236</v>
      </c>
      <c r="C29" s="351">
        <f>1*6*0.33*15</f>
        <v>29.7</v>
      </c>
      <c r="D29" s="298" t="s">
        <v>410</v>
      </c>
      <c r="E29" s="1" t="s">
        <v>236</v>
      </c>
      <c r="F29" s="353">
        <f>(1*5*0.33*15)+(4*6*0.33*15)+(1*3*0.33*15)</f>
        <v>158.4</v>
      </c>
    </row>
    <row r="30" spans="1:8" ht="21.6" thickBot="1" x14ac:dyDescent="0.3">
      <c r="A30" s="217"/>
      <c r="B30" s="19"/>
      <c r="C30" s="351"/>
      <c r="D30" s="1357" t="s">
        <v>920</v>
      </c>
      <c r="E30" s="1358" t="s">
        <v>236</v>
      </c>
      <c r="F30" s="353">
        <f>1*6*0.33*15</f>
        <v>29.7</v>
      </c>
    </row>
    <row r="31" spans="1:8" ht="21" x14ac:dyDescent="0.4">
      <c r="A31" s="1407" t="s">
        <v>415</v>
      </c>
      <c r="B31" s="1366"/>
      <c r="C31" s="1220">
        <f>SUM(C32)</f>
        <v>24.750000000000004</v>
      </c>
      <c r="D31" s="1398"/>
      <c r="E31" s="1375"/>
      <c r="F31" s="1399">
        <f>SUM(F32:F32)</f>
        <v>24.750000000000004</v>
      </c>
    </row>
    <row r="32" spans="1:8" ht="21.6" thickBot="1" x14ac:dyDescent="0.45">
      <c r="A32" s="1377" t="s">
        <v>410</v>
      </c>
      <c r="B32" s="1371" t="s">
        <v>236</v>
      </c>
      <c r="C32" s="1378">
        <f>1*5*0.33*15</f>
        <v>24.750000000000004</v>
      </c>
      <c r="D32" s="1395" t="s">
        <v>410</v>
      </c>
      <c r="E32" s="1396" t="s">
        <v>236</v>
      </c>
      <c r="F32" s="1397">
        <f>(1*5*0.33*15)</f>
        <v>24.750000000000004</v>
      </c>
    </row>
    <row r="33" spans="1:6" s="54" customFormat="1" ht="21" x14ac:dyDescent="0.4">
      <c r="A33" s="1408" t="s">
        <v>313</v>
      </c>
      <c r="B33" s="295"/>
      <c r="C33" s="306">
        <f>C34</f>
        <v>29.7</v>
      </c>
      <c r="D33" s="358"/>
      <c r="E33" s="359"/>
      <c r="F33" s="1355">
        <f>SUM(F34:F35)</f>
        <v>56.7</v>
      </c>
    </row>
    <row r="34" spans="1:6" ht="21" x14ac:dyDescent="0.4">
      <c r="A34" s="352" t="s">
        <v>920</v>
      </c>
      <c r="B34" s="19" t="s">
        <v>236</v>
      </c>
      <c r="C34" s="351">
        <f>1*6*0.33*15</f>
        <v>29.7</v>
      </c>
      <c r="D34" s="352" t="s">
        <v>402</v>
      </c>
      <c r="E34" s="19" t="s">
        <v>3</v>
      </c>
      <c r="F34" s="351">
        <v>27</v>
      </c>
    </row>
    <row r="35" spans="1:6" ht="21.6" thickBot="1" x14ac:dyDescent="0.45">
      <c r="A35" s="1359"/>
      <c r="B35" s="19"/>
      <c r="C35" s="351"/>
      <c r="D35" s="1357" t="s">
        <v>920</v>
      </c>
      <c r="E35" s="1358" t="s">
        <v>236</v>
      </c>
      <c r="F35" s="353">
        <f>1*6*0.33*15</f>
        <v>29.7</v>
      </c>
    </row>
    <row r="36" spans="1:6" s="54" customFormat="1" ht="21" x14ac:dyDescent="0.25">
      <c r="A36" s="1388" t="s">
        <v>412</v>
      </c>
      <c r="B36" s="1381"/>
      <c r="C36" s="1220"/>
      <c r="D36" s="1367"/>
      <c r="E36" s="1382"/>
      <c r="F36" s="1369">
        <f>SUM(F37:F38)</f>
        <v>30</v>
      </c>
    </row>
    <row r="37" spans="1:6" ht="21" x14ac:dyDescent="0.4">
      <c r="A37" s="352"/>
      <c r="B37" s="19"/>
      <c r="C37" s="351"/>
      <c r="D37" s="352" t="s">
        <v>402</v>
      </c>
      <c r="E37" s="19" t="s">
        <v>3</v>
      </c>
      <c r="F37" s="351">
        <v>27</v>
      </c>
    </row>
    <row r="38" spans="1:6" ht="21.6" thickBot="1" x14ac:dyDescent="0.45">
      <c r="A38" s="1377"/>
      <c r="B38" s="1232"/>
      <c r="C38" s="1378"/>
      <c r="D38" s="1377" t="s">
        <v>414</v>
      </c>
      <c r="E38" s="1232" t="s">
        <v>3</v>
      </c>
      <c r="F38" s="1378">
        <v>3</v>
      </c>
    </row>
    <row r="39" spans="1:6" s="54" customFormat="1" ht="21" x14ac:dyDescent="0.25">
      <c r="A39" s="1364" t="s">
        <v>311</v>
      </c>
      <c r="B39" s="295"/>
      <c r="C39" s="306"/>
      <c r="D39" s="358"/>
      <c r="E39" s="359"/>
      <c r="F39" s="331">
        <f>SUM(F40:F40)</f>
        <v>6</v>
      </c>
    </row>
    <row r="40" spans="1:6" ht="21.6" thickBot="1" x14ac:dyDescent="0.45">
      <c r="A40" s="360"/>
      <c r="B40" s="1"/>
      <c r="C40" s="351"/>
      <c r="D40" s="97" t="s">
        <v>414</v>
      </c>
      <c r="E40" s="308" t="s">
        <v>3</v>
      </c>
      <c r="F40" s="1349">
        <v>6</v>
      </c>
    </row>
    <row r="41" spans="1:6" ht="21" x14ac:dyDescent="0.4">
      <c r="A41" s="1400" t="s">
        <v>310</v>
      </c>
      <c r="B41" s="1366"/>
      <c r="C41" s="1401"/>
      <c r="D41" s="1402"/>
      <c r="E41" s="1366"/>
      <c r="F41" s="1220">
        <f>SUM(F42:F42)</f>
        <v>24</v>
      </c>
    </row>
    <row r="42" spans="1:6" ht="21.6" thickBot="1" x14ac:dyDescent="0.3">
      <c r="A42" s="1403"/>
      <c r="B42" s="1230"/>
      <c r="C42" s="1394"/>
      <c r="D42" s="1404" t="s">
        <v>918</v>
      </c>
      <c r="E42" s="1405" t="s">
        <v>3</v>
      </c>
      <c r="F42" s="1406">
        <v>24</v>
      </c>
    </row>
    <row r="43" spans="1:6" ht="18" x14ac:dyDescent="0.25">
      <c r="A43" s="266" t="s">
        <v>320</v>
      </c>
      <c r="B43" s="21"/>
      <c r="C43" s="361">
        <f>C2+C4+C6+C8+C11+C13+C16+C19+C22+C24+C27+C31+C33+C36+C39+C41</f>
        <v>555.45000000000005</v>
      </c>
      <c r="D43" s="12"/>
      <c r="E43" s="305"/>
      <c r="F43" s="361">
        <f>F2+F4+F6+F8+F11+F13+F16+F19+F22+F24+F27+F31+F33+F36+F39+F41</f>
        <v>620.95000000000005</v>
      </c>
    </row>
    <row r="44" spans="1:6" ht="18" x14ac:dyDescent="0.25">
      <c r="A44" s="276" t="s">
        <v>321</v>
      </c>
      <c r="B44" s="15"/>
      <c r="C44" s="271">
        <f>C43/(15*35)</f>
        <v>1.0580000000000001</v>
      </c>
      <c r="D44" s="12"/>
      <c r="E44" s="305"/>
      <c r="F44" s="271">
        <f>F43/(15*35)</f>
        <v>1.1827619047619049</v>
      </c>
    </row>
    <row r="45" spans="1:6" ht="18" x14ac:dyDescent="0.25">
      <c r="A45" s="276" t="s">
        <v>322</v>
      </c>
      <c r="B45" s="15"/>
      <c r="C45" s="265">
        <f>(C44+F44)/2</f>
        <v>1.1203809523809525</v>
      </c>
      <c r="D45" s="12"/>
      <c r="E45" s="305"/>
      <c r="F45" s="258"/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21" sqref="J21"/>
    </sheetView>
  </sheetViews>
  <sheetFormatPr defaultRowHeight="13.8" x14ac:dyDescent="0.25"/>
  <cols>
    <col min="1" max="1" width="23.5" customWidth="1"/>
    <col min="2" max="2" width="8.09765625" customWidth="1"/>
    <col min="3" max="3" width="12.796875" customWidth="1"/>
    <col min="4" max="4" width="15.59765625" style="298" customWidth="1"/>
    <col min="5" max="5" width="8.796875" style="298"/>
    <col min="6" max="6" width="10.296875" style="232" bestFit="1" customWidth="1"/>
    <col min="7" max="8" width="0" hidden="1" customWidth="1"/>
  </cols>
  <sheetData>
    <row r="1" spans="1:8" x14ac:dyDescent="0.25">
      <c r="A1" s="13"/>
      <c r="B1" s="13"/>
      <c r="C1" s="17" t="s">
        <v>512</v>
      </c>
      <c r="D1" s="305"/>
      <c r="E1" s="305"/>
      <c r="F1" s="17" t="s">
        <v>513</v>
      </c>
    </row>
    <row r="2" spans="1:8" ht="21" x14ac:dyDescent="0.4">
      <c r="A2" s="1318" t="s">
        <v>416</v>
      </c>
      <c r="B2" s="13"/>
      <c r="C2" s="231">
        <f>C3</f>
        <v>3</v>
      </c>
      <c r="D2" s="346"/>
      <c r="E2" s="309"/>
      <c r="F2" s="313"/>
    </row>
    <row r="3" spans="1:8" ht="21.6" thickBot="1" x14ac:dyDescent="0.45">
      <c r="A3" s="360" t="s">
        <v>404</v>
      </c>
      <c r="B3" s="19" t="s">
        <v>3</v>
      </c>
      <c r="C3" s="354">
        <v>3</v>
      </c>
      <c r="D3" s="352"/>
      <c r="E3" s="19"/>
      <c r="F3" s="354"/>
    </row>
    <row r="4" spans="1:8" ht="21" x14ac:dyDescent="0.25">
      <c r="A4" s="1413" t="s">
        <v>417</v>
      </c>
      <c r="B4" s="1366"/>
      <c r="C4" s="1369">
        <f>SUM(C7:C7)</f>
        <v>12</v>
      </c>
      <c r="D4" s="1376"/>
      <c r="E4" s="1376"/>
      <c r="F4" s="1236"/>
      <c r="G4" s="240">
        <v>238</v>
      </c>
      <c r="H4" s="240" t="s">
        <v>355</v>
      </c>
    </row>
    <row r="5" spans="1:8" hidden="1" x14ac:dyDescent="0.25">
      <c r="A5" s="288" t="s">
        <v>358</v>
      </c>
      <c r="B5" s="6" t="s">
        <v>1</v>
      </c>
      <c r="C5" s="249">
        <f>1*15</f>
        <v>15</v>
      </c>
      <c r="D5" s="299"/>
      <c r="E5" s="310"/>
      <c r="F5" s="249"/>
    </row>
    <row r="6" spans="1:8" hidden="1" x14ac:dyDescent="0.25">
      <c r="A6" s="292" t="s">
        <v>359</v>
      </c>
      <c r="B6" s="291" t="s">
        <v>1</v>
      </c>
      <c r="C6" s="249">
        <f>1*15</f>
        <v>15</v>
      </c>
      <c r="D6" s="230" t="s">
        <v>358</v>
      </c>
      <c r="E6" s="310" t="s">
        <v>1</v>
      </c>
      <c r="F6" s="249">
        <f>1*15</f>
        <v>15</v>
      </c>
    </row>
    <row r="7" spans="1:8" ht="21.6" thickBot="1" x14ac:dyDescent="0.3">
      <c r="A7" s="1239" t="s">
        <v>406</v>
      </c>
      <c r="B7" s="1414" t="s">
        <v>3</v>
      </c>
      <c r="C7" s="1372">
        <v>12</v>
      </c>
      <c r="D7" s="1373"/>
      <c r="E7" s="1415"/>
      <c r="F7" s="1416"/>
    </row>
    <row r="8" spans="1:8" ht="21" x14ac:dyDescent="0.25">
      <c r="A8" s="1361" t="s">
        <v>418</v>
      </c>
      <c r="B8" s="102"/>
      <c r="C8" s="876">
        <f>SUM(C9:C9)</f>
        <v>6</v>
      </c>
      <c r="D8" s="514"/>
      <c r="E8" s="1304"/>
      <c r="F8" s="279"/>
    </row>
    <row r="9" spans="1:8" ht="21.6" thickBot="1" x14ac:dyDescent="0.3">
      <c r="A9" s="367" t="s">
        <v>406</v>
      </c>
      <c r="B9" s="370" t="s">
        <v>3</v>
      </c>
      <c r="C9" s="348">
        <v>6</v>
      </c>
      <c r="D9" s="227"/>
      <c r="E9" s="1"/>
      <c r="F9" s="354"/>
      <c r="G9" s="240">
        <v>238</v>
      </c>
      <c r="H9" s="240" t="s">
        <v>355</v>
      </c>
    </row>
    <row r="10" spans="1:8" ht="21" x14ac:dyDescent="0.25">
      <c r="A10" s="1417" t="s">
        <v>419</v>
      </c>
      <c r="B10" s="1418"/>
      <c r="C10" s="1419">
        <f>SUM(C11:C11)</f>
        <v>21</v>
      </c>
      <c r="D10" s="1420"/>
      <c r="E10" s="1421"/>
      <c r="F10" s="1422"/>
    </row>
    <row r="11" spans="1:8" ht="21.6" thickBot="1" x14ac:dyDescent="0.3">
      <c r="A11" s="1373" t="s">
        <v>409</v>
      </c>
      <c r="B11" s="1415" t="s">
        <v>3</v>
      </c>
      <c r="C11" s="1423">
        <v>21</v>
      </c>
      <c r="D11" s="1373"/>
      <c r="E11" s="1415"/>
      <c r="F11" s="1423"/>
    </row>
    <row r="12" spans="1:8" ht="21" x14ac:dyDescent="0.4">
      <c r="A12" s="1409" t="s">
        <v>420</v>
      </c>
      <c r="B12" s="102"/>
      <c r="C12" s="1032"/>
      <c r="D12" s="514"/>
      <c r="E12" s="1410"/>
      <c r="F12" s="1411">
        <f>F13</f>
        <v>15</v>
      </c>
    </row>
    <row r="13" spans="1:8" ht="21.6" thickBot="1" x14ac:dyDescent="0.45">
      <c r="A13" s="360"/>
      <c r="B13" s="19"/>
      <c r="C13" s="354"/>
      <c r="D13" s="360" t="s">
        <v>421</v>
      </c>
      <c r="E13" s="19" t="s">
        <v>3</v>
      </c>
      <c r="F13" s="354">
        <v>15</v>
      </c>
    </row>
    <row r="14" spans="1:8" ht="21" x14ac:dyDescent="0.4">
      <c r="A14" s="1424" t="s">
        <v>422</v>
      </c>
      <c r="B14" s="1425"/>
      <c r="C14" s="1103"/>
      <c r="D14" s="1426"/>
      <c r="E14" s="1427"/>
      <c r="F14" s="1101">
        <f>F15</f>
        <v>15</v>
      </c>
    </row>
    <row r="15" spans="1:8" ht="21.6" thickBot="1" x14ac:dyDescent="0.3">
      <c r="A15" s="1222"/>
      <c r="B15" s="1222"/>
      <c r="C15" s="1386"/>
      <c r="D15" s="1373" t="s">
        <v>421</v>
      </c>
      <c r="E15" s="1415" t="s">
        <v>3</v>
      </c>
      <c r="F15" s="1423">
        <v>15</v>
      </c>
    </row>
    <row r="16" spans="1:8" ht="21" x14ac:dyDescent="0.4">
      <c r="A16" s="1348" t="s">
        <v>921</v>
      </c>
      <c r="B16" s="102"/>
      <c r="C16" s="1032"/>
      <c r="D16" s="1412"/>
      <c r="E16" s="104"/>
      <c r="F16" s="704">
        <f>F17</f>
        <v>15</v>
      </c>
    </row>
    <row r="17" spans="1:6" ht="21.6" thickBot="1" x14ac:dyDescent="0.3">
      <c r="A17" s="5"/>
      <c r="B17" s="5"/>
      <c r="D17" s="227" t="s">
        <v>421</v>
      </c>
      <c r="E17" s="1" t="s">
        <v>3</v>
      </c>
      <c r="F17" s="354">
        <v>15</v>
      </c>
    </row>
    <row r="18" spans="1:6" ht="21" x14ac:dyDescent="0.4">
      <c r="A18" s="1424" t="s">
        <v>922</v>
      </c>
      <c r="B18" s="1425"/>
      <c r="C18" s="1103"/>
      <c r="D18" s="1426"/>
      <c r="E18" s="1427"/>
      <c r="F18" s="1101">
        <f>F19</f>
        <v>3</v>
      </c>
    </row>
    <row r="19" spans="1:6" ht="21.6" thickBot="1" x14ac:dyDescent="0.3">
      <c r="A19" s="1222"/>
      <c r="B19" s="1222"/>
      <c r="C19" s="1386"/>
      <c r="D19" s="1373" t="s">
        <v>414</v>
      </c>
      <c r="E19" s="1415" t="s">
        <v>3</v>
      </c>
      <c r="F19" s="1423">
        <v>3</v>
      </c>
    </row>
    <row r="20" spans="1:6" ht="21" x14ac:dyDescent="0.4">
      <c r="A20" s="1348" t="s">
        <v>923</v>
      </c>
      <c r="B20" s="102"/>
      <c r="C20" s="1032"/>
      <c r="D20" s="1412"/>
      <c r="E20" s="104"/>
      <c r="F20" s="704">
        <f>F21</f>
        <v>3</v>
      </c>
    </row>
    <row r="21" spans="1:6" ht="21.6" thickBot="1" x14ac:dyDescent="0.3">
      <c r="A21" s="5"/>
      <c r="B21" s="5"/>
      <c r="D21" s="227" t="s">
        <v>414</v>
      </c>
      <c r="E21" s="1" t="s">
        <v>3</v>
      </c>
      <c r="F21" s="354">
        <v>3</v>
      </c>
    </row>
    <row r="22" spans="1:6" ht="21" x14ac:dyDescent="0.4">
      <c r="A22" s="1424" t="s">
        <v>924</v>
      </c>
      <c r="B22" s="1425"/>
      <c r="C22" s="1103"/>
      <c r="D22" s="1426"/>
      <c r="E22" s="1427"/>
      <c r="F22" s="1101">
        <f>SUM(F23:F24)</f>
        <v>6</v>
      </c>
    </row>
    <row r="23" spans="1:6" ht="21" x14ac:dyDescent="0.25">
      <c r="A23" s="5"/>
      <c r="B23" s="5"/>
      <c r="C23" s="1352"/>
      <c r="D23" s="21" t="s">
        <v>414</v>
      </c>
      <c r="E23" s="14" t="s">
        <v>3</v>
      </c>
      <c r="F23" s="357">
        <v>3</v>
      </c>
    </row>
    <row r="24" spans="1:6" ht="14.4" thickBot="1" x14ac:dyDescent="0.3">
      <c r="A24" s="1428"/>
      <c r="B24" s="1428"/>
      <c r="C24" s="1428"/>
      <c r="D24" s="1404" t="s">
        <v>918</v>
      </c>
      <c r="E24" s="1405" t="s">
        <v>3</v>
      </c>
      <c r="F24" s="1406">
        <v>3</v>
      </c>
    </row>
    <row r="25" spans="1:6" ht="21" x14ac:dyDescent="0.4">
      <c r="A25" s="1348" t="s">
        <v>925</v>
      </c>
      <c r="B25" s="102"/>
      <c r="C25" s="1032"/>
      <c r="D25" s="1412"/>
      <c r="E25" s="104"/>
      <c r="F25" s="704">
        <f>F26</f>
        <v>3</v>
      </c>
    </row>
    <row r="26" spans="1:6" ht="21.6" thickBot="1" x14ac:dyDescent="0.3">
      <c r="A26" s="1222"/>
      <c r="B26" s="1222"/>
      <c r="C26" s="1403"/>
      <c r="D26" s="1373" t="s">
        <v>414</v>
      </c>
      <c r="E26" s="1415" t="s">
        <v>3</v>
      </c>
      <c r="F26" s="1423">
        <v>3</v>
      </c>
    </row>
    <row r="27" spans="1:6" ht="18" x14ac:dyDescent="0.25">
      <c r="A27" s="259" t="s">
        <v>320</v>
      </c>
      <c r="B27" s="1219"/>
      <c r="C27" s="1429">
        <f>C2+C4+C8+C10+C12+C14+C16+C18+C20+C22+C25</f>
        <v>42</v>
      </c>
      <c r="D27" s="25"/>
      <c r="E27" s="1410"/>
      <c r="F27" s="1429">
        <f>F2+F4+F8+F10+F12+F14+F16+F18+F20+F22+F25</f>
        <v>60</v>
      </c>
    </row>
    <row r="28" spans="1:6" ht="18" x14ac:dyDescent="0.25">
      <c r="A28" s="276" t="s">
        <v>321</v>
      </c>
      <c r="B28" s="15"/>
      <c r="C28" s="271">
        <f>C27/(15*35)</f>
        <v>0.08</v>
      </c>
      <c r="D28" s="12"/>
      <c r="E28" s="305"/>
      <c r="F28" s="271">
        <f>F27/(15*35)</f>
        <v>0.11428571428571428</v>
      </c>
    </row>
    <row r="29" spans="1:6" ht="18" x14ac:dyDescent="0.25">
      <c r="A29" s="276" t="s">
        <v>322</v>
      </c>
      <c r="B29" s="15"/>
      <c r="C29" s="265">
        <f>(C28+F28)/2</f>
        <v>9.7142857142857142E-2</v>
      </c>
      <c r="D29" s="12"/>
      <c r="E29" s="305"/>
      <c r="F29" s="2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21"/>
  <sheetViews>
    <sheetView topLeftCell="A4" workbookViewId="0">
      <selection activeCell="I16" sqref="I16"/>
    </sheetView>
  </sheetViews>
  <sheetFormatPr defaultRowHeight="13.8" x14ac:dyDescent="0.25"/>
  <cols>
    <col min="1" max="1" width="23.69921875" style="72" bestFit="1" customWidth="1"/>
    <col min="2" max="2" width="9.69921875" style="70" customWidth="1"/>
    <col min="3" max="3" width="10.296875" style="70" bestFit="1" customWidth="1"/>
    <col min="4" max="4" width="10.296875" style="513" customWidth="1"/>
    <col min="5" max="5" width="9.69921875" style="70" customWidth="1"/>
    <col min="6" max="6" width="10.296875" style="70" bestFit="1" customWidth="1"/>
    <col min="7" max="16384" width="8.796875" style="72"/>
  </cols>
  <sheetData>
    <row r="1" spans="1:6" x14ac:dyDescent="0.25">
      <c r="A1" s="68"/>
      <c r="B1" s="71"/>
      <c r="C1" s="69" t="s">
        <v>512</v>
      </c>
      <c r="D1" s="253"/>
      <c r="E1" s="71"/>
      <c r="F1" s="69" t="s">
        <v>513</v>
      </c>
    </row>
    <row r="2" spans="1:6" x14ac:dyDescent="0.25">
      <c r="A2" s="94" t="s">
        <v>445</v>
      </c>
      <c r="B2" s="69"/>
      <c r="C2" s="363">
        <f>SUM(C3)</f>
        <v>3</v>
      </c>
      <c r="D2" s="1030"/>
      <c r="E2" s="71"/>
      <c r="F2" s="803"/>
    </row>
    <row r="3" spans="1:6" ht="21.6" thickBot="1" x14ac:dyDescent="0.45">
      <c r="A3" s="1066" t="s">
        <v>509</v>
      </c>
      <c r="B3" s="122" t="s">
        <v>670</v>
      </c>
      <c r="C3" s="344">
        <v>3</v>
      </c>
      <c r="D3" s="376"/>
      <c r="E3" s="375"/>
      <c r="F3" s="396"/>
    </row>
    <row r="4" spans="1:6" x14ac:dyDescent="0.25">
      <c r="A4" s="1092" t="s">
        <v>462</v>
      </c>
      <c r="B4" s="1093"/>
      <c r="C4" s="1101">
        <f>SUM(C5:C6)</f>
        <v>93</v>
      </c>
      <c r="D4" s="1102"/>
      <c r="E4" s="1093"/>
      <c r="F4" s="1103">
        <f>SUM(F5)</f>
        <v>3</v>
      </c>
    </row>
    <row r="5" spans="1:6" ht="21" x14ac:dyDescent="0.4">
      <c r="A5" s="845" t="s">
        <v>510</v>
      </c>
      <c r="B5" s="1019" t="s">
        <v>667</v>
      </c>
      <c r="C5" s="347">
        <v>90</v>
      </c>
      <c r="D5" s="684" t="s">
        <v>509</v>
      </c>
      <c r="E5" s="82" t="s">
        <v>1</v>
      </c>
      <c r="F5" s="337">
        <f>3*2/2</f>
        <v>3</v>
      </c>
    </row>
    <row r="6" spans="1:6" ht="21.6" thickBot="1" x14ac:dyDescent="0.45">
      <c r="A6" s="1056" t="s">
        <v>507</v>
      </c>
      <c r="B6" s="1057" t="s">
        <v>670</v>
      </c>
      <c r="C6" s="1096">
        <v>3</v>
      </c>
      <c r="D6" s="1083"/>
      <c r="E6" s="1168"/>
      <c r="F6" s="1085"/>
    </row>
    <row r="7" spans="1:6" x14ac:dyDescent="0.25">
      <c r="A7" s="1060" t="s">
        <v>447</v>
      </c>
      <c r="B7" s="819"/>
      <c r="C7" s="704">
        <f>SUM(C8)</f>
        <v>4.5</v>
      </c>
      <c r="D7" s="377"/>
      <c r="E7" s="819"/>
      <c r="F7" s="1032">
        <f>SUM(F8:F11)</f>
        <v>47.25</v>
      </c>
    </row>
    <row r="8" spans="1:6" ht="21" x14ac:dyDescent="0.25">
      <c r="A8" s="92" t="s">
        <v>507</v>
      </c>
      <c r="B8" s="69" t="s">
        <v>1</v>
      </c>
      <c r="C8" s="347">
        <f>3*3/2</f>
        <v>4.5</v>
      </c>
      <c r="D8" s="680" t="s">
        <v>511</v>
      </c>
      <c r="E8" s="116" t="s">
        <v>667</v>
      </c>
      <c r="F8" s="395">
        <v>30</v>
      </c>
    </row>
    <row r="9" spans="1:6" ht="21" x14ac:dyDescent="0.25">
      <c r="A9" s="304"/>
      <c r="B9" s="811"/>
      <c r="C9" s="332"/>
      <c r="D9" s="680" t="s">
        <v>508</v>
      </c>
      <c r="E9" s="1002" t="s">
        <v>667</v>
      </c>
      <c r="F9" s="347">
        <v>3</v>
      </c>
    </row>
    <row r="10" spans="1:6" ht="21" x14ac:dyDescent="0.4">
      <c r="A10" s="304"/>
      <c r="B10" s="811"/>
      <c r="C10" s="332"/>
      <c r="D10" s="823" t="s">
        <v>509</v>
      </c>
      <c r="E10" s="129" t="s">
        <v>670</v>
      </c>
      <c r="F10" s="398">
        <v>3</v>
      </c>
    </row>
    <row r="11" spans="1:6" ht="21.6" thickBot="1" x14ac:dyDescent="0.45">
      <c r="A11" s="304"/>
      <c r="B11" s="811"/>
      <c r="C11" s="332"/>
      <c r="D11" s="1000" t="s">
        <v>791</v>
      </c>
      <c r="E11" s="122" t="s">
        <v>668</v>
      </c>
      <c r="F11" s="396">
        <v>11.25</v>
      </c>
    </row>
    <row r="12" spans="1:6" x14ac:dyDescent="0.25">
      <c r="A12" s="1092" t="s">
        <v>393</v>
      </c>
      <c r="B12" s="1093"/>
      <c r="C12" s="1169"/>
      <c r="D12" s="1094"/>
      <c r="E12" s="1093"/>
      <c r="F12" s="1170">
        <f>SUM(F13:F14)</f>
        <v>20.3</v>
      </c>
    </row>
    <row r="13" spans="1:6" ht="21" x14ac:dyDescent="0.4">
      <c r="A13" s="343"/>
      <c r="B13" s="810"/>
      <c r="C13" s="862"/>
      <c r="D13" s="823" t="s">
        <v>508</v>
      </c>
      <c r="E13" s="129" t="s">
        <v>667</v>
      </c>
      <c r="F13" s="1018">
        <v>9</v>
      </c>
    </row>
    <row r="14" spans="1:6" ht="21.6" thickBot="1" x14ac:dyDescent="0.45">
      <c r="A14" s="1171"/>
      <c r="B14" s="1168"/>
      <c r="C14" s="1172"/>
      <c r="D14" s="1173" t="s">
        <v>791</v>
      </c>
      <c r="E14" s="1057" t="s">
        <v>668</v>
      </c>
      <c r="F14" s="1174">
        <v>11.3</v>
      </c>
    </row>
    <row r="15" spans="1:6" ht="20.399999999999999" x14ac:dyDescent="0.25">
      <c r="A15" s="1099" t="s">
        <v>371</v>
      </c>
      <c r="B15" s="819"/>
      <c r="C15" s="1061">
        <f>SUM(C16:C16)</f>
        <v>3</v>
      </c>
      <c r="D15" s="1165"/>
      <c r="E15" s="379"/>
      <c r="F15" s="1166"/>
    </row>
    <row r="16" spans="1:6" ht="14.4" thickBot="1" x14ac:dyDescent="0.3">
      <c r="A16" s="68" t="s">
        <v>509</v>
      </c>
      <c r="B16" s="70" t="s">
        <v>1</v>
      </c>
      <c r="C16" s="332">
        <v>3</v>
      </c>
      <c r="D16" s="376"/>
      <c r="E16" s="536"/>
      <c r="F16" s="375"/>
    </row>
    <row r="17" spans="1:6" x14ac:dyDescent="0.25">
      <c r="A17" s="1158" t="s">
        <v>54</v>
      </c>
      <c r="B17" s="1175"/>
      <c r="C17" s="1103">
        <f>SUM(C18)</f>
        <v>3</v>
      </c>
      <c r="D17" s="1176"/>
      <c r="E17" s="1175"/>
      <c r="F17" s="1103">
        <f>SUM(F18)</f>
        <v>45</v>
      </c>
    </row>
    <row r="18" spans="1:6" ht="14.4" thickBot="1" x14ac:dyDescent="0.3">
      <c r="A18" s="1177" t="s">
        <v>508</v>
      </c>
      <c r="B18" s="1113" t="s">
        <v>3</v>
      </c>
      <c r="C18" s="1178">
        <v>3</v>
      </c>
      <c r="D18" s="1074" t="s">
        <v>511</v>
      </c>
      <c r="E18" s="1179" t="s">
        <v>3</v>
      </c>
      <c r="F18" s="1180">
        <f>3*15</f>
        <v>45</v>
      </c>
    </row>
    <row r="19" spans="1:6" ht="18" x14ac:dyDescent="0.25">
      <c r="A19" s="460" t="s">
        <v>320</v>
      </c>
      <c r="B19" s="1109"/>
      <c r="C19" s="1110">
        <f>C2+C4+C7+C12+C15+C17</f>
        <v>106.5</v>
      </c>
      <c r="D19" s="1167"/>
      <c r="E19" s="1109"/>
      <c r="F19" s="1110">
        <f>F2+F4+F7+F12+F15+F17</f>
        <v>115.55</v>
      </c>
    </row>
    <row r="20" spans="1:6" ht="18" x14ac:dyDescent="0.25">
      <c r="A20" s="266" t="s">
        <v>321</v>
      </c>
      <c r="B20" s="390"/>
      <c r="C20" s="598">
        <f>C19/(15*35)</f>
        <v>0.20285714285714285</v>
      </c>
      <c r="D20" s="599"/>
      <c r="E20" s="390"/>
      <c r="F20" s="598">
        <f>F19/(15*35)</f>
        <v>0.22009523809523809</v>
      </c>
    </row>
    <row r="21" spans="1:6" ht="18" x14ac:dyDescent="0.25">
      <c r="A21" s="266" t="s">
        <v>322</v>
      </c>
      <c r="B21" s="390"/>
      <c r="C21" s="600">
        <f>(C20+F20)/2</f>
        <v>0.21147619047619048</v>
      </c>
      <c r="D21" s="338"/>
      <c r="E21" s="390"/>
      <c r="F21" s="3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0"/>
  <sheetViews>
    <sheetView workbookViewId="0">
      <selection activeCell="H13" sqref="H13"/>
    </sheetView>
  </sheetViews>
  <sheetFormatPr defaultRowHeight="13.8" x14ac:dyDescent="0.25"/>
  <cols>
    <col min="1" max="1" width="23.19921875" style="72" customWidth="1"/>
    <col min="2" max="2" width="9.3984375" style="70" customWidth="1"/>
    <col min="3" max="3" width="10.296875" style="549" bestFit="1" customWidth="1"/>
    <col min="4" max="4" width="10.296875" style="513" customWidth="1"/>
    <col min="5" max="5" width="8.3984375" style="70" customWidth="1"/>
    <col min="6" max="6" width="11.3984375" style="549" customWidth="1"/>
    <col min="7" max="16384" width="8.796875" style="72"/>
  </cols>
  <sheetData>
    <row r="1" spans="1:6" x14ac:dyDescent="0.25">
      <c r="A1" s="68"/>
      <c r="B1" s="71"/>
      <c r="C1" s="69" t="s">
        <v>512</v>
      </c>
      <c r="D1" s="253"/>
      <c r="E1" s="71"/>
      <c r="F1" s="69" t="s">
        <v>513</v>
      </c>
    </row>
    <row r="2" spans="1:6" ht="21" x14ac:dyDescent="0.6">
      <c r="A2" s="111" t="s">
        <v>479</v>
      </c>
      <c r="B2" s="386"/>
      <c r="C2" s="347"/>
      <c r="D2" s="684"/>
      <c r="E2" s="386"/>
      <c r="F2" s="363">
        <v>3</v>
      </c>
    </row>
    <row r="3" spans="1:6" ht="24" thickBot="1" x14ac:dyDescent="0.65">
      <c r="A3" s="1024"/>
      <c r="B3" s="387"/>
      <c r="C3" s="344"/>
      <c r="D3" s="998" t="s">
        <v>508</v>
      </c>
      <c r="E3" s="122" t="s">
        <v>667</v>
      </c>
      <c r="F3" s="344">
        <f>3*2/2</f>
        <v>3</v>
      </c>
    </row>
    <row r="4" spans="1:6" ht="21" x14ac:dyDescent="0.6">
      <c r="A4" s="1181" t="s">
        <v>495</v>
      </c>
      <c r="B4" s="1130"/>
      <c r="C4" s="1101">
        <v>3</v>
      </c>
      <c r="D4" s="1131"/>
      <c r="E4" s="1130"/>
      <c r="F4" s="1101">
        <f>SUM(F5:F7)</f>
        <v>18.75</v>
      </c>
    </row>
    <row r="5" spans="1:6" ht="21" x14ac:dyDescent="0.4">
      <c r="A5" s="841" t="s">
        <v>507</v>
      </c>
      <c r="B5" s="129" t="s">
        <v>670</v>
      </c>
      <c r="C5" s="347">
        <f>3*2/2</f>
        <v>3</v>
      </c>
      <c r="D5" s="823" t="s">
        <v>508</v>
      </c>
      <c r="E5" s="129" t="s">
        <v>667</v>
      </c>
      <c r="F5" s="347">
        <v>3</v>
      </c>
    </row>
    <row r="6" spans="1:6" ht="23.4" x14ac:dyDescent="0.6">
      <c r="A6" s="1025"/>
      <c r="B6" s="386"/>
      <c r="C6" s="347"/>
      <c r="D6" s="823" t="s">
        <v>509</v>
      </c>
      <c r="E6" s="129" t="s">
        <v>670</v>
      </c>
      <c r="F6" s="347">
        <v>4.5</v>
      </c>
    </row>
    <row r="7" spans="1:6" ht="24" thickBot="1" x14ac:dyDescent="0.65">
      <c r="A7" s="1164"/>
      <c r="B7" s="1133"/>
      <c r="C7" s="1058"/>
      <c r="D7" s="1059" t="s">
        <v>791</v>
      </c>
      <c r="E7" s="1057" t="s">
        <v>668</v>
      </c>
      <c r="F7" s="1058">
        <v>11.25</v>
      </c>
    </row>
    <row r="8" spans="1:6" ht="18" x14ac:dyDescent="0.25">
      <c r="A8" s="460" t="s">
        <v>320</v>
      </c>
      <c r="B8" s="1109"/>
      <c r="C8" s="1110">
        <f>SUM(C2,C4)</f>
        <v>3</v>
      </c>
      <c r="D8" s="1167"/>
      <c r="E8" s="1109"/>
      <c r="F8" s="1110">
        <f>SUM(F2,F4)</f>
        <v>21.75</v>
      </c>
    </row>
    <row r="9" spans="1:6" ht="18" x14ac:dyDescent="0.25">
      <c r="A9" s="266" t="s">
        <v>321</v>
      </c>
      <c r="B9" s="390"/>
      <c r="C9" s="598">
        <f>C8/(15*35)</f>
        <v>5.7142857142857143E-3</v>
      </c>
      <c r="D9" s="599"/>
      <c r="E9" s="390"/>
      <c r="F9" s="598">
        <f>F8/(15*35)</f>
        <v>4.1428571428571426E-2</v>
      </c>
    </row>
    <row r="10" spans="1:6" ht="18" x14ac:dyDescent="0.25">
      <c r="A10" s="266" t="s">
        <v>322</v>
      </c>
      <c r="B10" s="390"/>
      <c r="C10" s="600">
        <f>(C9+F9)/2</f>
        <v>2.357142857142857E-2</v>
      </c>
      <c r="D10" s="338"/>
      <c r="E10" s="390"/>
      <c r="F10" s="3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1"/>
  <sheetViews>
    <sheetView workbookViewId="0">
      <selection activeCell="A6" sqref="A6"/>
    </sheetView>
  </sheetViews>
  <sheetFormatPr defaultRowHeight="13.8" x14ac:dyDescent="0.25"/>
  <cols>
    <col min="1" max="1" width="25.5" style="72" customWidth="1"/>
    <col min="2" max="2" width="8.796875" style="72"/>
    <col min="3" max="3" width="10.3984375" style="72" customWidth="1"/>
    <col min="4" max="4" width="17.19921875" style="72" customWidth="1"/>
    <col min="5" max="5" width="8.796875" style="72"/>
    <col min="6" max="6" width="10.19921875" style="72" customWidth="1"/>
    <col min="7" max="16384" width="8.796875" style="72"/>
  </cols>
  <sheetData>
    <row r="1" spans="1:6" x14ac:dyDescent="0.25">
      <c r="A1" s="92"/>
      <c r="B1" s="70"/>
      <c r="C1" s="69" t="s">
        <v>512</v>
      </c>
      <c r="D1" s="70"/>
      <c r="E1" s="70"/>
      <c r="F1" s="71" t="s">
        <v>513</v>
      </c>
    </row>
    <row r="2" spans="1:6" s="80" customFormat="1" ht="21" x14ac:dyDescent="0.25">
      <c r="A2" s="871" t="s">
        <v>54</v>
      </c>
      <c r="B2" s="84"/>
      <c r="C2" s="601">
        <f>SUM(C3:C5)</f>
        <v>112.5</v>
      </c>
      <c r="D2" s="83"/>
      <c r="E2" s="84"/>
      <c r="F2" s="601">
        <f>SUM(F3:F5)</f>
        <v>109.125</v>
      </c>
    </row>
    <row r="3" spans="1:6" ht="21" x14ac:dyDescent="0.25">
      <c r="A3" s="551" t="s">
        <v>55</v>
      </c>
      <c r="B3" s="77" t="s">
        <v>30</v>
      </c>
      <c r="C3" s="87">
        <v>45</v>
      </c>
      <c r="D3" s="757" t="s">
        <v>55</v>
      </c>
      <c r="E3" s="62" t="s">
        <v>3</v>
      </c>
      <c r="F3" s="87">
        <v>45</v>
      </c>
    </row>
    <row r="4" spans="1:6" ht="21" x14ac:dyDescent="0.4">
      <c r="A4" s="551" t="s">
        <v>38</v>
      </c>
      <c r="B4" s="77" t="s">
        <v>2</v>
      </c>
      <c r="C4" s="125">
        <v>50.625</v>
      </c>
      <c r="D4" s="846" t="s">
        <v>40</v>
      </c>
      <c r="E4" s="62" t="s">
        <v>1</v>
      </c>
      <c r="F4" s="87">
        <v>36</v>
      </c>
    </row>
    <row r="5" spans="1:6" ht="21" x14ac:dyDescent="0.4">
      <c r="A5" s="551" t="s">
        <v>35</v>
      </c>
      <c r="B5" s="77" t="s">
        <v>2</v>
      </c>
      <c r="C5" s="125">
        <v>16.875</v>
      </c>
      <c r="D5" s="846" t="s">
        <v>38</v>
      </c>
      <c r="E5" s="62" t="s">
        <v>2</v>
      </c>
      <c r="F5" s="125">
        <v>28.125</v>
      </c>
    </row>
    <row r="6" spans="1:6" ht="21.6" thickBot="1" x14ac:dyDescent="0.45">
      <c r="A6" s="1182"/>
      <c r="B6" s="1026"/>
      <c r="C6" s="68"/>
      <c r="D6" s="1182" t="s">
        <v>664</v>
      </c>
      <c r="E6" s="1026" t="s">
        <v>1</v>
      </c>
      <c r="F6" s="68">
        <v>1.5</v>
      </c>
    </row>
    <row r="7" spans="1:6" s="80" customFormat="1" ht="21" x14ac:dyDescent="0.25">
      <c r="A7" s="1105" t="s">
        <v>665</v>
      </c>
      <c r="B7" s="1069"/>
      <c r="C7" s="1070"/>
      <c r="D7" s="1192"/>
      <c r="E7" s="1069"/>
      <c r="F7" s="1070">
        <f>SUM(F8:F11)</f>
        <v>167.25</v>
      </c>
    </row>
    <row r="8" spans="1:6" ht="21" x14ac:dyDescent="0.25">
      <c r="A8" s="508"/>
      <c r="B8" s="520"/>
      <c r="C8" s="87"/>
      <c r="D8" s="508" t="s">
        <v>666</v>
      </c>
      <c r="E8" s="520" t="s">
        <v>667</v>
      </c>
      <c r="F8" s="87">
        <v>45</v>
      </c>
    </row>
    <row r="9" spans="1:6" ht="21" x14ac:dyDescent="0.4">
      <c r="A9" s="126"/>
      <c r="B9" s="129"/>
      <c r="C9" s="87"/>
      <c r="D9" s="126" t="s">
        <v>38</v>
      </c>
      <c r="E9" s="129" t="s">
        <v>668</v>
      </c>
      <c r="F9" s="87">
        <v>3.75</v>
      </c>
    </row>
    <row r="10" spans="1:6" ht="21" x14ac:dyDescent="0.4">
      <c r="A10" s="126"/>
      <c r="B10" s="129"/>
      <c r="C10" s="87"/>
      <c r="D10" s="126" t="s">
        <v>669</v>
      </c>
      <c r="E10" s="129" t="s">
        <v>667</v>
      </c>
      <c r="F10" s="87">
        <v>82.5</v>
      </c>
    </row>
    <row r="11" spans="1:6" ht="21.6" thickBot="1" x14ac:dyDescent="0.45">
      <c r="A11" s="1193"/>
      <c r="B11" s="1057"/>
      <c r="C11" s="1194"/>
      <c r="D11" s="1193" t="s">
        <v>40</v>
      </c>
      <c r="E11" s="1057" t="s">
        <v>670</v>
      </c>
      <c r="F11" s="1194">
        <v>36</v>
      </c>
    </row>
    <row r="12" spans="1:6" ht="21" x14ac:dyDescent="0.25">
      <c r="A12" s="1099" t="s">
        <v>62</v>
      </c>
      <c r="B12" s="60"/>
      <c r="C12" s="876">
        <f>SUM(C13:C18)</f>
        <v>240</v>
      </c>
      <c r="D12" s="1186"/>
      <c r="E12" s="60"/>
      <c r="F12" s="876">
        <f>SUM(F13:F18)</f>
        <v>172.5</v>
      </c>
    </row>
    <row r="13" spans="1:6" ht="21" x14ac:dyDescent="0.25">
      <c r="A13" s="551" t="s">
        <v>36</v>
      </c>
      <c r="B13" s="77" t="s">
        <v>30</v>
      </c>
      <c r="C13" s="690">
        <v>30</v>
      </c>
      <c r="D13" s="757" t="s">
        <v>671</v>
      </c>
      <c r="E13" s="520" t="s">
        <v>667</v>
      </c>
      <c r="F13" s="347">
        <v>30</v>
      </c>
    </row>
    <row r="14" spans="1:6" ht="21" x14ac:dyDescent="0.4">
      <c r="A14" s="551" t="s">
        <v>36</v>
      </c>
      <c r="B14" s="77" t="s">
        <v>1</v>
      </c>
      <c r="C14" s="690">
        <v>45</v>
      </c>
      <c r="D14" s="846" t="s">
        <v>36</v>
      </c>
      <c r="E14" s="129" t="s">
        <v>670</v>
      </c>
      <c r="F14" s="347">
        <v>45</v>
      </c>
    </row>
    <row r="15" spans="1:6" ht="22.8" x14ac:dyDescent="0.55000000000000004">
      <c r="A15" s="551" t="s">
        <v>29</v>
      </c>
      <c r="B15" s="77" t="s">
        <v>30</v>
      </c>
      <c r="C15" s="690">
        <v>45</v>
      </c>
      <c r="D15" s="846" t="s">
        <v>63</v>
      </c>
      <c r="E15" s="129" t="s">
        <v>667</v>
      </c>
      <c r="F15" s="847">
        <v>30</v>
      </c>
    </row>
    <row r="16" spans="1:6" ht="21" x14ac:dyDescent="0.4">
      <c r="A16" s="551" t="s">
        <v>38</v>
      </c>
      <c r="B16" s="77" t="s">
        <v>2</v>
      </c>
      <c r="C16" s="690">
        <v>67.5</v>
      </c>
      <c r="D16" s="846" t="s">
        <v>63</v>
      </c>
      <c r="E16" s="129" t="s">
        <v>670</v>
      </c>
      <c r="F16" s="347">
        <v>22.5</v>
      </c>
    </row>
    <row r="17" spans="1:6" ht="21" x14ac:dyDescent="0.4">
      <c r="A17" s="551" t="s">
        <v>63</v>
      </c>
      <c r="B17" s="77" t="s">
        <v>30</v>
      </c>
      <c r="C17" s="690">
        <v>30</v>
      </c>
      <c r="D17" s="846" t="s">
        <v>672</v>
      </c>
      <c r="E17" s="129" t="s">
        <v>667</v>
      </c>
      <c r="F17" s="347">
        <v>45</v>
      </c>
    </row>
    <row r="18" spans="1:6" ht="21.6" thickBot="1" x14ac:dyDescent="0.3">
      <c r="A18" s="1183" t="s">
        <v>63</v>
      </c>
      <c r="B18" s="1184" t="s">
        <v>1</v>
      </c>
      <c r="C18" s="1243">
        <v>22.5</v>
      </c>
      <c r="D18" s="68"/>
      <c r="E18" s="1026"/>
      <c r="F18" s="68"/>
    </row>
    <row r="19" spans="1:6" ht="21" x14ac:dyDescent="0.25">
      <c r="A19" s="1158" t="s">
        <v>33</v>
      </c>
      <c r="B19" s="1195"/>
      <c r="C19" s="1120">
        <f>SUM(C20)</f>
        <v>45</v>
      </c>
      <c r="D19" s="1196"/>
      <c r="E19" s="1195"/>
      <c r="F19" s="1120">
        <f>SUM(F20)</f>
        <v>45</v>
      </c>
    </row>
    <row r="20" spans="1:6" ht="21.6" thickBot="1" x14ac:dyDescent="0.45">
      <c r="A20" s="1197" t="s">
        <v>29</v>
      </c>
      <c r="B20" s="1198" t="s">
        <v>3</v>
      </c>
      <c r="C20" s="1194">
        <v>45</v>
      </c>
      <c r="D20" s="1194" t="s">
        <v>673</v>
      </c>
      <c r="E20" s="1198" t="s">
        <v>3</v>
      </c>
      <c r="F20" s="1194">
        <v>45</v>
      </c>
    </row>
    <row r="21" spans="1:6" ht="21" x14ac:dyDescent="0.25">
      <c r="A21" s="1089" t="s">
        <v>34</v>
      </c>
      <c r="B21" s="1188"/>
      <c r="C21" s="1054">
        <f>SUM(C22:C27)</f>
        <v>176.25</v>
      </c>
      <c r="D21" s="76"/>
      <c r="E21" s="1188"/>
      <c r="F21" s="1054">
        <f>SUM(F22:F27)</f>
        <v>172.5</v>
      </c>
    </row>
    <row r="22" spans="1:6" ht="21" x14ac:dyDescent="0.25">
      <c r="A22" s="551" t="s">
        <v>35</v>
      </c>
      <c r="B22" s="77" t="s">
        <v>2</v>
      </c>
      <c r="C22" s="347">
        <v>22.5</v>
      </c>
      <c r="D22" s="757" t="s">
        <v>674</v>
      </c>
      <c r="E22" s="520" t="s">
        <v>667</v>
      </c>
      <c r="F22" s="347">
        <v>30</v>
      </c>
    </row>
    <row r="23" spans="1:6" ht="21" x14ac:dyDescent="0.4">
      <c r="A23" s="551" t="s">
        <v>36</v>
      </c>
      <c r="B23" s="77" t="s">
        <v>30</v>
      </c>
      <c r="C23" s="347">
        <v>30</v>
      </c>
      <c r="D23" s="846" t="s">
        <v>36</v>
      </c>
      <c r="E23" s="129" t="s">
        <v>670</v>
      </c>
      <c r="F23" s="347">
        <v>45</v>
      </c>
    </row>
    <row r="24" spans="1:6" ht="21" x14ac:dyDescent="0.4">
      <c r="A24" s="551" t="s">
        <v>36</v>
      </c>
      <c r="B24" s="77" t="s">
        <v>1</v>
      </c>
      <c r="C24" s="347">
        <v>67.5</v>
      </c>
      <c r="D24" s="846" t="s">
        <v>675</v>
      </c>
      <c r="E24" s="129" t="s">
        <v>670</v>
      </c>
      <c r="F24" s="347">
        <v>15</v>
      </c>
    </row>
    <row r="25" spans="1:6" ht="21" x14ac:dyDescent="0.4">
      <c r="A25" s="551" t="s">
        <v>37</v>
      </c>
      <c r="B25" s="77" t="s">
        <v>1</v>
      </c>
      <c r="C25" s="347">
        <v>30</v>
      </c>
      <c r="D25" s="846" t="s">
        <v>38</v>
      </c>
      <c r="E25" s="129" t="s">
        <v>668</v>
      </c>
      <c r="F25" s="347">
        <v>45</v>
      </c>
    </row>
    <row r="26" spans="1:6" s="80" customFormat="1" ht="21" x14ac:dyDescent="0.4">
      <c r="A26" s="551" t="s">
        <v>38</v>
      </c>
      <c r="B26" s="77" t="s">
        <v>2</v>
      </c>
      <c r="C26" s="848">
        <v>26.25</v>
      </c>
      <c r="D26" s="846" t="s">
        <v>40</v>
      </c>
      <c r="E26" s="129" t="s">
        <v>670</v>
      </c>
      <c r="F26" s="848">
        <v>36</v>
      </c>
    </row>
    <row r="27" spans="1:6" s="80" customFormat="1" ht="21.6" thickBot="1" x14ac:dyDescent="0.45">
      <c r="A27" s="1182"/>
      <c r="B27" s="122"/>
      <c r="C27" s="1185"/>
      <c r="D27" s="1182" t="s">
        <v>664</v>
      </c>
      <c r="E27" s="122" t="s">
        <v>670</v>
      </c>
      <c r="F27" s="1185">
        <v>1.5</v>
      </c>
    </row>
    <row r="28" spans="1:6" ht="21" x14ac:dyDescent="0.25">
      <c r="A28" s="1105" t="s">
        <v>44</v>
      </c>
      <c r="B28" s="1119"/>
      <c r="C28" s="1106">
        <f>SUM(C29:C30)</f>
        <v>56.25</v>
      </c>
      <c r="D28" s="1199"/>
      <c r="E28" s="1119"/>
      <c r="F28" s="1106">
        <f>SUM(F29:F30)</f>
        <v>46.5</v>
      </c>
    </row>
    <row r="29" spans="1:6" ht="21" x14ac:dyDescent="0.25">
      <c r="A29" s="551" t="s">
        <v>45</v>
      </c>
      <c r="B29" s="62" t="s">
        <v>3</v>
      </c>
      <c r="C29" s="87">
        <v>45</v>
      </c>
      <c r="D29" s="757" t="s">
        <v>45</v>
      </c>
      <c r="E29" s="62" t="s">
        <v>3</v>
      </c>
      <c r="F29" s="87">
        <v>45</v>
      </c>
    </row>
    <row r="30" spans="1:6" ht="21.6" thickBot="1" x14ac:dyDescent="0.45">
      <c r="A30" s="1200" t="s">
        <v>38</v>
      </c>
      <c r="B30" s="1064" t="s">
        <v>2</v>
      </c>
      <c r="C30" s="1194">
        <v>11.25</v>
      </c>
      <c r="D30" s="1197" t="s">
        <v>664</v>
      </c>
      <c r="E30" s="1064" t="s">
        <v>1</v>
      </c>
      <c r="F30" s="1194">
        <v>1.5</v>
      </c>
    </row>
    <row r="31" spans="1:6" ht="21" x14ac:dyDescent="0.25">
      <c r="A31" s="286" t="s">
        <v>78</v>
      </c>
      <c r="B31" s="62"/>
      <c r="C31" s="601">
        <f>SUM(C32:C37)</f>
        <v>226.875</v>
      </c>
      <c r="D31" s="81"/>
      <c r="E31" s="62"/>
      <c r="F31" s="601">
        <f>SUM(F32:F37)</f>
        <v>251.25</v>
      </c>
    </row>
    <row r="32" spans="1:6" ht="21" x14ac:dyDescent="0.25">
      <c r="A32" s="551" t="s">
        <v>79</v>
      </c>
      <c r="B32" s="77" t="s">
        <v>30</v>
      </c>
      <c r="C32" s="726">
        <v>45</v>
      </c>
      <c r="D32" s="757" t="s">
        <v>79</v>
      </c>
      <c r="E32" s="520" t="s">
        <v>667</v>
      </c>
      <c r="F32" s="726">
        <v>45</v>
      </c>
    </row>
    <row r="33" spans="1:6" ht="21" x14ac:dyDescent="0.25">
      <c r="A33" s="551" t="s">
        <v>80</v>
      </c>
      <c r="B33" s="77" t="s">
        <v>30</v>
      </c>
      <c r="C33" s="618">
        <v>45</v>
      </c>
      <c r="D33" s="757" t="s">
        <v>80</v>
      </c>
      <c r="E33" s="520" t="s">
        <v>667</v>
      </c>
      <c r="F33" s="618">
        <v>45</v>
      </c>
    </row>
    <row r="34" spans="1:6" ht="21" x14ac:dyDescent="0.4">
      <c r="A34" s="551" t="s">
        <v>35</v>
      </c>
      <c r="B34" s="77" t="s">
        <v>2</v>
      </c>
      <c r="C34" s="726">
        <v>33.75</v>
      </c>
      <c r="D34" s="846" t="s">
        <v>35</v>
      </c>
      <c r="E34" s="129" t="s">
        <v>668</v>
      </c>
      <c r="F34" s="844">
        <v>16.875</v>
      </c>
    </row>
    <row r="35" spans="1:6" ht="21" x14ac:dyDescent="0.4">
      <c r="A35" s="551" t="s">
        <v>38</v>
      </c>
      <c r="B35" s="77" t="s">
        <v>2</v>
      </c>
      <c r="C35" s="844">
        <v>73.125</v>
      </c>
      <c r="D35" s="846" t="s">
        <v>38</v>
      </c>
      <c r="E35" s="129" t="s">
        <v>668</v>
      </c>
      <c r="F35" s="844">
        <v>106.875</v>
      </c>
    </row>
    <row r="36" spans="1:6" ht="21" x14ac:dyDescent="0.4">
      <c r="A36" s="551" t="s">
        <v>40</v>
      </c>
      <c r="B36" s="77" t="s">
        <v>1</v>
      </c>
      <c r="C36" s="726">
        <v>30</v>
      </c>
      <c r="D36" s="846" t="s">
        <v>40</v>
      </c>
      <c r="E36" s="660" t="s">
        <v>670</v>
      </c>
      <c r="F36" s="726">
        <v>36</v>
      </c>
    </row>
    <row r="37" spans="1:6" ht="21.6" thickBot="1" x14ac:dyDescent="0.45">
      <c r="A37" s="1182"/>
      <c r="B37" s="827"/>
      <c r="C37" s="344"/>
      <c r="D37" s="1182" t="s">
        <v>664</v>
      </c>
      <c r="E37" s="827" t="s">
        <v>670</v>
      </c>
      <c r="F37" s="344">
        <v>1.5</v>
      </c>
    </row>
    <row r="38" spans="1:6" ht="21" x14ac:dyDescent="0.25">
      <c r="A38" s="1105" t="s">
        <v>69</v>
      </c>
      <c r="B38" s="1195"/>
      <c r="C38" s="1106">
        <f>SUM(C39:C43)</f>
        <v>142.5</v>
      </c>
      <c r="D38" s="1196"/>
      <c r="E38" s="1195"/>
      <c r="F38" s="1106">
        <f>SUM(F39:F43)</f>
        <v>127.5</v>
      </c>
    </row>
    <row r="39" spans="1:6" ht="21" x14ac:dyDescent="0.25">
      <c r="A39" s="551" t="s">
        <v>70</v>
      </c>
      <c r="B39" s="759" t="s">
        <v>668</v>
      </c>
      <c r="C39" s="87">
        <v>45</v>
      </c>
      <c r="D39" s="757" t="s">
        <v>35</v>
      </c>
      <c r="E39" s="759" t="s">
        <v>668</v>
      </c>
      <c r="F39" s="87">
        <v>11.25</v>
      </c>
    </row>
    <row r="40" spans="1:6" ht="21" x14ac:dyDescent="0.25">
      <c r="A40" s="551" t="s">
        <v>71</v>
      </c>
      <c r="B40" s="759" t="s">
        <v>668</v>
      </c>
      <c r="C40" s="87">
        <v>45</v>
      </c>
      <c r="D40" s="757" t="s">
        <v>38</v>
      </c>
      <c r="E40" s="759" t="s">
        <v>668</v>
      </c>
      <c r="F40" s="87">
        <v>33.75</v>
      </c>
    </row>
    <row r="41" spans="1:6" ht="21" x14ac:dyDescent="0.4">
      <c r="A41" s="551" t="s">
        <v>38</v>
      </c>
      <c r="B41" s="660" t="s">
        <v>670</v>
      </c>
      <c r="C41" s="87">
        <v>22.5</v>
      </c>
      <c r="D41" s="846">
        <v>215.304</v>
      </c>
      <c r="E41" s="660" t="s">
        <v>670</v>
      </c>
      <c r="F41" s="87">
        <v>36</v>
      </c>
    </row>
    <row r="42" spans="1:6" ht="21" x14ac:dyDescent="0.4">
      <c r="A42" s="551" t="s">
        <v>40</v>
      </c>
      <c r="B42" s="660" t="s">
        <v>670</v>
      </c>
      <c r="C42" s="87">
        <v>30</v>
      </c>
      <c r="D42" s="846" t="s">
        <v>664</v>
      </c>
      <c r="E42" s="660" t="s">
        <v>670</v>
      </c>
      <c r="F42" s="87">
        <v>1.5</v>
      </c>
    </row>
    <row r="43" spans="1:6" ht="21.6" thickBot="1" x14ac:dyDescent="0.45">
      <c r="A43" s="1197"/>
      <c r="B43" s="1244"/>
      <c r="C43" s="1194"/>
      <c r="D43" s="1197" t="s">
        <v>70</v>
      </c>
      <c r="E43" s="1244" t="s">
        <v>667</v>
      </c>
      <c r="F43" s="1194">
        <v>45</v>
      </c>
    </row>
    <row r="44" spans="1:6" ht="21" x14ac:dyDescent="0.25">
      <c r="A44" s="1099" t="s">
        <v>64</v>
      </c>
      <c r="B44" s="60"/>
      <c r="C44" s="876">
        <f>SUM(C45:C47)</f>
        <v>73.13</v>
      </c>
      <c r="D44" s="1186"/>
      <c r="E44" s="60"/>
      <c r="F44" s="876">
        <f>SUM(F45:F47)</f>
        <v>45</v>
      </c>
    </row>
    <row r="45" spans="1:6" ht="21" x14ac:dyDescent="0.25">
      <c r="A45" s="551" t="s">
        <v>53</v>
      </c>
      <c r="B45" s="62" t="s">
        <v>3</v>
      </c>
      <c r="C45" s="87">
        <v>45</v>
      </c>
      <c r="D45" s="757" t="s">
        <v>682</v>
      </c>
      <c r="E45" s="62" t="s">
        <v>3</v>
      </c>
      <c r="F45" s="87">
        <v>45</v>
      </c>
    </row>
    <row r="46" spans="1:6" ht="21" x14ac:dyDescent="0.25">
      <c r="A46" s="551" t="s">
        <v>38</v>
      </c>
      <c r="B46" s="62" t="s">
        <v>2</v>
      </c>
      <c r="C46" s="87">
        <v>22.5</v>
      </c>
      <c r="D46" s="87"/>
      <c r="E46" s="62"/>
      <c r="F46" s="87"/>
    </row>
    <row r="47" spans="1:6" ht="21.6" thickBot="1" x14ac:dyDescent="0.3">
      <c r="A47" s="1183" t="s">
        <v>35</v>
      </c>
      <c r="B47" s="1026" t="s">
        <v>2</v>
      </c>
      <c r="C47" s="68">
        <v>5.63</v>
      </c>
      <c r="D47" s="68"/>
      <c r="E47" s="1026"/>
      <c r="F47" s="68"/>
    </row>
    <row r="48" spans="1:6" ht="21" x14ac:dyDescent="0.25">
      <c r="A48" s="1158" t="s">
        <v>75</v>
      </c>
      <c r="B48" s="1195"/>
      <c r="C48" s="1124">
        <f>SUM(C49:C51)</f>
        <v>181.875</v>
      </c>
      <c r="D48" s="1196"/>
      <c r="E48" s="1195"/>
      <c r="F48" s="1124">
        <f>SUM(F49:F51)</f>
        <v>176.625</v>
      </c>
    </row>
    <row r="49" spans="1:6" ht="21" x14ac:dyDescent="0.25">
      <c r="A49" s="551" t="s">
        <v>38</v>
      </c>
      <c r="B49" s="77" t="s">
        <v>2</v>
      </c>
      <c r="C49" s="125">
        <v>106.875</v>
      </c>
      <c r="D49" s="757" t="s">
        <v>685</v>
      </c>
      <c r="E49" s="62" t="s">
        <v>3</v>
      </c>
      <c r="F49" s="87">
        <v>45</v>
      </c>
    </row>
    <row r="50" spans="1:6" ht="21" x14ac:dyDescent="0.4">
      <c r="A50" s="551" t="s">
        <v>77</v>
      </c>
      <c r="B50" s="77" t="s">
        <v>30</v>
      </c>
      <c r="C50" s="87">
        <v>45</v>
      </c>
      <c r="D50" s="846" t="s">
        <v>38</v>
      </c>
      <c r="E50" s="62" t="s">
        <v>2</v>
      </c>
      <c r="F50" s="125">
        <v>95.625</v>
      </c>
    </row>
    <row r="51" spans="1:6" ht="21.6" thickBot="1" x14ac:dyDescent="0.45">
      <c r="A51" s="1200" t="s">
        <v>40</v>
      </c>
      <c r="B51" s="1198" t="s">
        <v>1</v>
      </c>
      <c r="C51" s="1194">
        <v>30</v>
      </c>
      <c r="D51" s="1197" t="s">
        <v>40</v>
      </c>
      <c r="E51" s="1064" t="s">
        <v>1</v>
      </c>
      <c r="F51" s="1194">
        <v>36</v>
      </c>
    </row>
    <row r="52" spans="1:6" ht="21" x14ac:dyDescent="0.25">
      <c r="A52" s="1099" t="s">
        <v>56</v>
      </c>
      <c r="B52" s="60"/>
      <c r="C52" s="1054">
        <f>SUM(C53)</f>
        <v>73.13</v>
      </c>
      <c r="D52" s="76"/>
      <c r="E52" s="60"/>
      <c r="F52" s="1245">
        <f>SUM(F53)</f>
        <v>45</v>
      </c>
    </row>
    <row r="53" spans="1:6" ht="21.6" thickBot="1" x14ac:dyDescent="0.3">
      <c r="A53" s="296" t="s">
        <v>49</v>
      </c>
      <c r="B53" s="1026" t="s">
        <v>30</v>
      </c>
      <c r="C53" s="1246">
        <f>SUM(C44)</f>
        <v>73.13</v>
      </c>
      <c r="D53" s="296" t="s">
        <v>676</v>
      </c>
      <c r="E53" s="1026" t="s">
        <v>30</v>
      </c>
      <c r="F53" s="1247">
        <v>45</v>
      </c>
    </row>
    <row r="54" spans="1:6" ht="21" x14ac:dyDescent="0.25">
      <c r="A54" s="1105" t="s">
        <v>84</v>
      </c>
      <c r="B54" s="1119"/>
      <c r="C54" s="1070">
        <f>SUM(C55:C57)</f>
        <v>89.625</v>
      </c>
      <c r="D54" s="1196"/>
      <c r="E54" s="1119"/>
      <c r="F54" s="1248"/>
    </row>
    <row r="55" spans="1:6" ht="21" x14ac:dyDescent="0.25">
      <c r="A55" s="551" t="s">
        <v>29</v>
      </c>
      <c r="B55" s="62" t="s">
        <v>30</v>
      </c>
      <c r="C55" s="87">
        <v>45</v>
      </c>
      <c r="D55" s="73"/>
      <c r="E55" s="62"/>
      <c r="F55" s="88"/>
    </row>
    <row r="56" spans="1:6" ht="21" x14ac:dyDescent="0.25">
      <c r="A56" s="551" t="s">
        <v>38</v>
      </c>
      <c r="B56" s="62" t="s">
        <v>2</v>
      </c>
      <c r="C56" s="125">
        <v>5.625</v>
      </c>
      <c r="D56" s="73"/>
      <c r="E56" s="62"/>
      <c r="F56" s="88"/>
    </row>
    <row r="57" spans="1:6" ht="21.6" thickBot="1" x14ac:dyDescent="0.3">
      <c r="A57" s="1200" t="s">
        <v>40</v>
      </c>
      <c r="B57" s="1064" t="s">
        <v>1</v>
      </c>
      <c r="C57" s="1194">
        <v>39</v>
      </c>
      <c r="D57" s="1201"/>
      <c r="E57" s="1064"/>
      <c r="F57" s="1249"/>
    </row>
    <row r="58" spans="1:6" ht="21" x14ac:dyDescent="0.25">
      <c r="A58" s="286" t="s">
        <v>82</v>
      </c>
      <c r="B58" s="62"/>
      <c r="C58" s="372">
        <f>SUM(C59:C63)</f>
        <v>67.5</v>
      </c>
      <c r="D58" s="81"/>
      <c r="E58" s="62"/>
      <c r="F58" s="623">
        <f>SUM(F59:F63)</f>
        <v>210</v>
      </c>
    </row>
    <row r="59" spans="1:6" ht="21" x14ac:dyDescent="0.25">
      <c r="A59" s="551" t="s">
        <v>80</v>
      </c>
      <c r="B59" s="759" t="s">
        <v>667</v>
      </c>
      <c r="C59" s="87">
        <v>45</v>
      </c>
      <c r="D59" s="757" t="s">
        <v>70</v>
      </c>
      <c r="E59" s="759" t="s">
        <v>667</v>
      </c>
      <c r="F59" s="87">
        <v>45</v>
      </c>
    </row>
    <row r="60" spans="1:6" ht="21" x14ac:dyDescent="0.4">
      <c r="A60" s="551" t="s">
        <v>35</v>
      </c>
      <c r="B60" s="660" t="s">
        <v>2</v>
      </c>
      <c r="C60" s="87">
        <v>11.25</v>
      </c>
      <c r="D60" s="846" t="s">
        <v>80</v>
      </c>
      <c r="E60" s="660" t="s">
        <v>667</v>
      </c>
      <c r="F60" s="87">
        <v>45</v>
      </c>
    </row>
    <row r="61" spans="1:6" ht="21" x14ac:dyDescent="0.4">
      <c r="A61" s="551" t="s">
        <v>38</v>
      </c>
      <c r="B61" s="660" t="s">
        <v>668</v>
      </c>
      <c r="C61" s="87">
        <v>11.25</v>
      </c>
      <c r="D61" s="846" t="s">
        <v>38</v>
      </c>
      <c r="E61" s="660" t="s">
        <v>668</v>
      </c>
      <c r="F61" s="87">
        <v>67.5</v>
      </c>
    </row>
    <row r="62" spans="1:6" ht="21" x14ac:dyDescent="0.4">
      <c r="A62" s="846"/>
      <c r="B62" s="660"/>
      <c r="C62" s="618"/>
      <c r="D62" s="846" t="s">
        <v>680</v>
      </c>
      <c r="E62" s="660" t="s">
        <v>667</v>
      </c>
      <c r="F62" s="618">
        <v>30</v>
      </c>
    </row>
    <row r="63" spans="1:6" ht="21.6" thickBot="1" x14ac:dyDescent="0.45">
      <c r="A63" s="1182"/>
      <c r="B63" s="1250"/>
      <c r="C63" s="68"/>
      <c r="D63" s="1182" t="s">
        <v>680</v>
      </c>
      <c r="E63" s="1250" t="s">
        <v>670</v>
      </c>
      <c r="F63" s="68">
        <v>22.5</v>
      </c>
    </row>
    <row r="64" spans="1:6" x14ac:dyDescent="0.25">
      <c r="A64" s="1202" t="s">
        <v>472</v>
      </c>
      <c r="B64" s="1080"/>
      <c r="C64" s="1203"/>
      <c r="D64" s="1102"/>
      <c r="E64" s="1080"/>
      <c r="F64" s="1134">
        <f>SUM(F65)</f>
        <v>1.875</v>
      </c>
    </row>
    <row r="65" spans="1:6" ht="21" x14ac:dyDescent="0.4">
      <c r="A65" s="87"/>
      <c r="B65" s="69"/>
      <c r="C65" s="69"/>
      <c r="D65" s="126" t="s">
        <v>38</v>
      </c>
      <c r="E65" s="129" t="s">
        <v>668</v>
      </c>
      <c r="F65" s="1011">
        <v>1.875</v>
      </c>
    </row>
    <row r="66" spans="1:6" ht="21.6" thickBot="1" x14ac:dyDescent="0.45">
      <c r="A66" s="1194"/>
      <c r="B66" s="1204"/>
      <c r="C66" s="1113"/>
      <c r="D66" s="1205"/>
      <c r="E66" s="1206"/>
      <c r="F66" s="1113"/>
    </row>
    <row r="67" spans="1:6" ht="21" x14ac:dyDescent="0.4">
      <c r="A67" s="1189" t="s">
        <v>328</v>
      </c>
      <c r="B67" s="536"/>
      <c r="C67" s="704">
        <f>SUM(C68)</f>
        <v>9</v>
      </c>
      <c r="D67" s="1190"/>
      <c r="E67" s="1191"/>
      <c r="F67" s="807"/>
    </row>
    <row r="68" spans="1:6" ht="21.6" thickBot="1" x14ac:dyDescent="0.45">
      <c r="A68" s="1208" t="s">
        <v>329</v>
      </c>
      <c r="B68" s="1209" t="s">
        <v>667</v>
      </c>
      <c r="C68" s="1180">
        <v>9</v>
      </c>
      <c r="D68" s="1205"/>
      <c r="E68" s="1206"/>
      <c r="F68" s="1113"/>
    </row>
    <row r="69" spans="1:6" ht="18" x14ac:dyDescent="0.25">
      <c r="A69" s="460" t="s">
        <v>320</v>
      </c>
      <c r="B69" s="86"/>
      <c r="C69" s="1207">
        <f>C2+C7+C12+C19+C21+C28+C31+C38+C44+C48+C52+C54+C58+C64+C67</f>
        <v>1493.6350000000002</v>
      </c>
      <c r="D69" s="100"/>
      <c r="E69" s="86"/>
      <c r="F69" s="1207">
        <f>F2+F7+F12+F19+F21+F28+F31+F38+F44+F48+F52+F54+F58+F64+F67</f>
        <v>1570.125</v>
      </c>
    </row>
    <row r="70" spans="1:6" ht="18" x14ac:dyDescent="0.25">
      <c r="A70" s="266" t="s">
        <v>321</v>
      </c>
      <c r="B70" s="74"/>
      <c r="C70" s="598">
        <f>C69/(15*35)</f>
        <v>2.845019047619048</v>
      </c>
      <c r="D70" s="92"/>
      <c r="E70" s="74"/>
      <c r="F70" s="813">
        <f>F69/(15*35)</f>
        <v>2.9907142857142857</v>
      </c>
    </row>
    <row r="71" spans="1:6" ht="18" x14ac:dyDescent="0.25">
      <c r="A71" s="266" t="s">
        <v>322</v>
      </c>
      <c r="B71" s="74"/>
      <c r="C71" s="522">
        <f>(C70+F70)/2</f>
        <v>2.9178666666666668</v>
      </c>
      <c r="D71" s="92"/>
      <c r="E71" s="74"/>
      <c r="F71" s="9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58"/>
  <sheetViews>
    <sheetView workbookViewId="0">
      <selection sqref="A1:XFD1048576"/>
    </sheetView>
  </sheetViews>
  <sheetFormatPr defaultRowHeight="13.8" x14ac:dyDescent="0.25"/>
  <cols>
    <col min="1" max="1" width="21.09765625" customWidth="1"/>
    <col min="3" max="3" width="10.296875" customWidth="1"/>
    <col min="6" max="6" width="9.8984375" customWidth="1"/>
  </cols>
  <sheetData>
    <row r="1" spans="1:6" x14ac:dyDescent="0.25">
      <c r="A1" s="21"/>
      <c r="B1" s="9"/>
      <c r="C1" s="8" t="s">
        <v>512</v>
      </c>
      <c r="D1" s="9"/>
      <c r="E1" s="9"/>
      <c r="F1" s="8" t="s">
        <v>513</v>
      </c>
    </row>
    <row r="2" spans="1:6" s="54" customFormat="1" ht="21" x14ac:dyDescent="0.25">
      <c r="A2" s="286" t="s">
        <v>43</v>
      </c>
      <c r="B2" s="55"/>
      <c r="C2" s="228">
        <f>SUM(C3:C8)</f>
        <v>247.5</v>
      </c>
      <c r="D2" s="81"/>
      <c r="E2" s="55"/>
      <c r="F2" s="228">
        <f>SUM(F3:F8)</f>
        <v>195</v>
      </c>
    </row>
    <row r="3" spans="1:6" ht="21" x14ac:dyDescent="0.25">
      <c r="A3" s="224" t="s">
        <v>36</v>
      </c>
      <c r="B3" s="53" t="s">
        <v>1</v>
      </c>
      <c r="C3" s="13">
        <v>45</v>
      </c>
      <c r="D3" s="457" t="s">
        <v>42</v>
      </c>
      <c r="E3" s="57" t="s">
        <v>3</v>
      </c>
      <c r="F3" s="13">
        <v>45</v>
      </c>
    </row>
    <row r="4" spans="1:6" ht="21" x14ac:dyDescent="0.4">
      <c r="A4" s="224" t="s">
        <v>36</v>
      </c>
      <c r="B4" s="53" t="s">
        <v>30</v>
      </c>
      <c r="C4" s="13">
        <v>60</v>
      </c>
      <c r="D4" s="823" t="s">
        <v>36</v>
      </c>
      <c r="E4" s="57" t="s">
        <v>3</v>
      </c>
      <c r="F4" s="13">
        <v>60</v>
      </c>
    </row>
    <row r="5" spans="1:6" ht="21" x14ac:dyDescent="0.4">
      <c r="A5" s="224" t="s">
        <v>35</v>
      </c>
      <c r="B5" s="53" t="s">
        <v>2</v>
      </c>
      <c r="C5" s="13">
        <v>22.5</v>
      </c>
      <c r="D5" s="823" t="s">
        <v>36</v>
      </c>
      <c r="E5" s="55" t="s">
        <v>1</v>
      </c>
      <c r="F5" s="13">
        <v>45</v>
      </c>
    </row>
    <row r="6" spans="1:6" ht="21" x14ac:dyDescent="0.4">
      <c r="A6" s="224" t="s">
        <v>42</v>
      </c>
      <c r="B6" s="53" t="s">
        <v>30</v>
      </c>
      <c r="C6" s="13">
        <v>45</v>
      </c>
      <c r="D6" s="823" t="s">
        <v>663</v>
      </c>
      <c r="E6" s="57" t="s">
        <v>3</v>
      </c>
      <c r="F6" s="13">
        <v>45</v>
      </c>
    </row>
    <row r="7" spans="1:6" ht="21" x14ac:dyDescent="0.25">
      <c r="A7" s="224" t="s">
        <v>39</v>
      </c>
      <c r="B7" s="53" t="s">
        <v>30</v>
      </c>
      <c r="C7" s="13">
        <v>45</v>
      </c>
      <c r="D7" s="11"/>
      <c r="E7" s="57"/>
      <c r="F7" s="850"/>
    </row>
    <row r="8" spans="1:6" ht="21.6" thickBot="1" x14ac:dyDescent="0.3">
      <c r="A8" s="199" t="s">
        <v>38</v>
      </c>
      <c r="B8" s="202" t="s">
        <v>2</v>
      </c>
      <c r="C8" s="5">
        <v>30</v>
      </c>
      <c r="D8" s="308"/>
      <c r="E8" s="2"/>
      <c r="F8" s="1214"/>
    </row>
    <row r="9" spans="1:6" ht="21" x14ac:dyDescent="0.25">
      <c r="A9" s="1158" t="s">
        <v>52</v>
      </c>
      <c r="B9" s="1219"/>
      <c r="C9" s="1220">
        <f>SUM(C10:C15)</f>
        <v>210</v>
      </c>
      <c r="D9" s="1196"/>
      <c r="E9" s="1219"/>
      <c r="F9" s="1220">
        <f>SUM(F10:F15)</f>
        <v>200.25</v>
      </c>
    </row>
    <row r="10" spans="1:6" ht="21" x14ac:dyDescent="0.25">
      <c r="A10" s="224" t="s">
        <v>53</v>
      </c>
      <c r="B10" s="53" t="s">
        <v>30</v>
      </c>
      <c r="C10" s="13">
        <v>45</v>
      </c>
      <c r="D10" s="724" t="s">
        <v>53</v>
      </c>
      <c r="E10" s="116" t="s">
        <v>667</v>
      </c>
      <c r="F10" s="13">
        <v>45</v>
      </c>
    </row>
    <row r="11" spans="1:6" ht="21" x14ac:dyDescent="0.25">
      <c r="A11" s="224" t="s">
        <v>38</v>
      </c>
      <c r="B11" s="53" t="s">
        <v>2</v>
      </c>
      <c r="C11" s="13">
        <v>78.75</v>
      </c>
      <c r="D11" s="724" t="s">
        <v>36</v>
      </c>
      <c r="E11" s="116" t="s">
        <v>667</v>
      </c>
      <c r="F11" s="13">
        <v>30</v>
      </c>
    </row>
    <row r="12" spans="1:6" ht="21" x14ac:dyDescent="0.4">
      <c r="A12" s="224" t="s">
        <v>36</v>
      </c>
      <c r="B12" s="53" t="s">
        <v>30</v>
      </c>
      <c r="C12" s="13">
        <v>30</v>
      </c>
      <c r="D12" s="951" t="s">
        <v>36</v>
      </c>
      <c r="E12" s="129" t="s">
        <v>670</v>
      </c>
      <c r="F12" s="13">
        <v>45</v>
      </c>
    </row>
    <row r="13" spans="1:6" ht="21" x14ac:dyDescent="0.4">
      <c r="A13" s="224" t="s">
        <v>36</v>
      </c>
      <c r="B13" s="53" t="s">
        <v>1</v>
      </c>
      <c r="C13" s="13">
        <v>56.25</v>
      </c>
      <c r="D13" s="951" t="s">
        <v>38</v>
      </c>
      <c r="E13" s="129" t="s">
        <v>668</v>
      </c>
      <c r="F13" s="13">
        <v>73.125</v>
      </c>
    </row>
    <row r="14" spans="1:6" ht="21" x14ac:dyDescent="0.4">
      <c r="A14" s="951"/>
      <c r="B14" s="129"/>
      <c r="C14" s="13"/>
      <c r="D14" s="951" t="s">
        <v>35</v>
      </c>
      <c r="E14" s="129" t="s">
        <v>668</v>
      </c>
      <c r="F14" s="13">
        <v>5.625</v>
      </c>
    </row>
    <row r="15" spans="1:6" ht="21.6" thickBot="1" x14ac:dyDescent="0.45">
      <c r="A15" s="1221"/>
      <c r="B15" s="1057"/>
      <c r="C15" s="1222"/>
      <c r="D15" s="1221" t="s">
        <v>664</v>
      </c>
      <c r="E15" s="1057" t="s">
        <v>670</v>
      </c>
      <c r="F15" s="1222">
        <v>1.5</v>
      </c>
    </row>
    <row r="16" spans="1:6" x14ac:dyDescent="0.25">
      <c r="A16" s="146" t="s">
        <v>48</v>
      </c>
      <c r="B16" s="7"/>
      <c r="C16" s="279">
        <f>SUM(C17:C22)</f>
        <v>168.75</v>
      </c>
      <c r="D16" s="85"/>
      <c r="E16" s="7"/>
      <c r="F16" s="279">
        <f>SUM(F17:F22)</f>
        <v>195</v>
      </c>
    </row>
    <row r="17" spans="1:6" ht="21" x14ac:dyDescent="0.25">
      <c r="A17" s="224" t="s">
        <v>29</v>
      </c>
      <c r="B17" s="53" t="s">
        <v>30</v>
      </c>
      <c r="C17" s="1210">
        <v>45</v>
      </c>
      <c r="D17" s="724" t="s">
        <v>676</v>
      </c>
      <c r="E17" s="116" t="s">
        <v>667</v>
      </c>
      <c r="F17" s="1210">
        <v>45</v>
      </c>
    </row>
    <row r="18" spans="1:6" ht="21" x14ac:dyDescent="0.4">
      <c r="A18" s="224" t="s">
        <v>38</v>
      </c>
      <c r="B18" s="53" t="s">
        <v>2</v>
      </c>
      <c r="C18" s="1211">
        <v>43.125</v>
      </c>
      <c r="D18" s="951" t="s">
        <v>38</v>
      </c>
      <c r="E18" s="129" t="s">
        <v>668</v>
      </c>
      <c r="F18" s="1212">
        <v>61.875</v>
      </c>
    </row>
    <row r="19" spans="1:6" ht="21" x14ac:dyDescent="0.4">
      <c r="A19" s="224" t="s">
        <v>49</v>
      </c>
      <c r="B19" s="53" t="s">
        <v>30</v>
      </c>
      <c r="C19" s="1212">
        <v>45</v>
      </c>
      <c r="D19" s="951" t="s">
        <v>35</v>
      </c>
      <c r="E19" s="129" t="s">
        <v>668</v>
      </c>
      <c r="F19" s="1212">
        <v>5.625</v>
      </c>
    </row>
    <row r="20" spans="1:6" ht="21" x14ac:dyDescent="0.4">
      <c r="A20" s="224" t="s">
        <v>35</v>
      </c>
      <c r="B20" s="53" t="s">
        <v>2</v>
      </c>
      <c r="C20" s="1212">
        <v>5.625</v>
      </c>
      <c r="D20" s="951" t="s">
        <v>36</v>
      </c>
      <c r="E20" s="129" t="s">
        <v>670</v>
      </c>
      <c r="F20" s="1212">
        <v>45</v>
      </c>
    </row>
    <row r="21" spans="1:6" ht="21" x14ac:dyDescent="0.4">
      <c r="A21" s="224" t="s">
        <v>40</v>
      </c>
      <c r="B21" s="53" t="s">
        <v>1</v>
      </c>
      <c r="C21" s="1212">
        <v>30</v>
      </c>
      <c r="D21" s="951" t="s">
        <v>40</v>
      </c>
      <c r="E21" s="129" t="s">
        <v>670</v>
      </c>
      <c r="F21" s="1212">
        <v>36</v>
      </c>
    </row>
    <row r="22" spans="1:6" ht="21.6" thickBot="1" x14ac:dyDescent="0.45">
      <c r="A22" s="1215"/>
      <c r="B22" s="122"/>
      <c r="C22" s="1216"/>
      <c r="D22" s="1215" t="s">
        <v>664</v>
      </c>
      <c r="E22" s="122" t="s">
        <v>670</v>
      </c>
      <c r="F22" s="1216">
        <v>1.5</v>
      </c>
    </row>
    <row r="23" spans="1:6" ht="21" x14ac:dyDescent="0.25">
      <c r="A23" s="1158" t="s">
        <v>41</v>
      </c>
      <c r="B23" s="1219"/>
      <c r="C23" s="1223">
        <f>SUM(C24:C29)</f>
        <v>157.5</v>
      </c>
      <c r="D23" s="1196"/>
      <c r="E23" s="1219"/>
      <c r="F23" s="1223">
        <f>SUM(F24:F29)</f>
        <v>221.25</v>
      </c>
    </row>
    <row r="24" spans="1:6" ht="21" x14ac:dyDescent="0.25">
      <c r="A24" s="224" t="s">
        <v>39</v>
      </c>
      <c r="B24" s="53" t="s">
        <v>30</v>
      </c>
      <c r="C24" s="13">
        <v>45</v>
      </c>
      <c r="D24" s="457" t="s">
        <v>677</v>
      </c>
      <c r="E24" s="116" t="s">
        <v>667</v>
      </c>
      <c r="F24" s="13">
        <v>45</v>
      </c>
    </row>
    <row r="25" spans="1:6" ht="21" x14ac:dyDescent="0.4">
      <c r="A25" s="224" t="s">
        <v>37</v>
      </c>
      <c r="B25" s="53" t="s">
        <v>1</v>
      </c>
      <c r="C25" s="13">
        <v>60</v>
      </c>
      <c r="D25" s="823" t="s">
        <v>38</v>
      </c>
      <c r="E25" s="129" t="s">
        <v>668</v>
      </c>
      <c r="F25" s="13">
        <v>56.25</v>
      </c>
    </row>
    <row r="26" spans="1:6" ht="21" x14ac:dyDescent="0.4">
      <c r="A26" s="224" t="s">
        <v>36</v>
      </c>
      <c r="B26" s="53" t="s">
        <v>1</v>
      </c>
      <c r="C26" s="13">
        <v>22.5</v>
      </c>
      <c r="D26" s="823" t="s">
        <v>675</v>
      </c>
      <c r="E26" s="129" t="s">
        <v>670</v>
      </c>
      <c r="F26" s="13">
        <v>15</v>
      </c>
    </row>
    <row r="27" spans="1:6" ht="21" x14ac:dyDescent="0.4">
      <c r="A27" s="224" t="s">
        <v>40</v>
      </c>
      <c r="B27" s="53" t="s">
        <v>1</v>
      </c>
      <c r="C27" s="13">
        <v>30</v>
      </c>
      <c r="D27" s="823" t="s">
        <v>40</v>
      </c>
      <c r="E27" s="129" t="s">
        <v>670</v>
      </c>
      <c r="F27" s="13">
        <v>36</v>
      </c>
    </row>
    <row r="28" spans="1:6" ht="21" x14ac:dyDescent="0.4">
      <c r="A28" s="823"/>
      <c r="B28" s="129"/>
      <c r="C28" s="13"/>
      <c r="D28" s="823" t="s">
        <v>664</v>
      </c>
      <c r="E28" s="129" t="s">
        <v>670</v>
      </c>
      <c r="F28" s="13">
        <v>1.5</v>
      </c>
    </row>
    <row r="29" spans="1:6" ht="21.6" thickBot="1" x14ac:dyDescent="0.45">
      <c r="A29" s="1059"/>
      <c r="B29" s="1057"/>
      <c r="C29" s="1222"/>
      <c r="D29" s="1059" t="s">
        <v>36</v>
      </c>
      <c r="E29" s="1057" t="s">
        <v>670</v>
      </c>
      <c r="F29" s="1222">
        <v>67.5</v>
      </c>
    </row>
    <row r="30" spans="1:6" ht="21" x14ac:dyDescent="0.25">
      <c r="A30" s="1099" t="s">
        <v>324</v>
      </c>
      <c r="B30" s="60"/>
      <c r="C30" s="1217">
        <f>SUM(C31:C33)</f>
        <v>90</v>
      </c>
      <c r="D30" s="1186"/>
      <c r="E30" s="60"/>
      <c r="F30" s="1217">
        <f>SUM(F31:F33)</f>
        <v>114</v>
      </c>
    </row>
    <row r="31" spans="1:6" ht="21" x14ac:dyDescent="0.4">
      <c r="A31" s="224" t="s">
        <v>45</v>
      </c>
      <c r="B31" s="53" t="s">
        <v>30</v>
      </c>
      <c r="C31" s="13">
        <v>45</v>
      </c>
      <c r="D31" s="951" t="s">
        <v>45</v>
      </c>
      <c r="E31" s="62" t="s">
        <v>3</v>
      </c>
      <c r="F31" s="13">
        <v>45</v>
      </c>
    </row>
    <row r="32" spans="1:6" ht="21" x14ac:dyDescent="0.25">
      <c r="A32" s="224" t="s">
        <v>39</v>
      </c>
      <c r="B32" s="53" t="s">
        <v>30</v>
      </c>
      <c r="C32" s="13">
        <v>45</v>
      </c>
      <c r="D32" s="724" t="s">
        <v>664</v>
      </c>
      <c r="E32" s="62" t="s">
        <v>1</v>
      </c>
      <c r="F32" s="13">
        <v>1.5</v>
      </c>
    </row>
    <row r="33" spans="1:6" ht="21.6" thickBot="1" x14ac:dyDescent="0.45">
      <c r="A33" s="1215"/>
      <c r="B33" s="1026"/>
      <c r="C33" s="5"/>
      <c r="D33" s="1215" t="s">
        <v>38</v>
      </c>
      <c r="E33" s="1026" t="s">
        <v>2</v>
      </c>
      <c r="F33" s="5">
        <v>67.5</v>
      </c>
    </row>
    <row r="34" spans="1:6" ht="21" x14ac:dyDescent="0.25">
      <c r="A34" s="1129" t="s">
        <v>325</v>
      </c>
      <c r="B34" s="1119"/>
      <c r="C34" s="1224">
        <f>SUM(C35:C40)</f>
        <v>153.75</v>
      </c>
      <c r="D34" s="1225"/>
      <c r="E34" s="1119"/>
      <c r="F34" s="1224">
        <f>SUM(F35:F40)</f>
        <v>228.75</v>
      </c>
    </row>
    <row r="35" spans="1:6" ht="21" x14ac:dyDescent="0.25">
      <c r="A35" s="224" t="s">
        <v>81</v>
      </c>
      <c r="B35" s="116" t="s">
        <v>30</v>
      </c>
      <c r="C35" s="13">
        <v>45</v>
      </c>
      <c r="D35" s="724" t="s">
        <v>678</v>
      </c>
      <c r="E35" s="116" t="s">
        <v>667</v>
      </c>
      <c r="F35" s="13">
        <v>45</v>
      </c>
    </row>
    <row r="36" spans="1:6" ht="21" x14ac:dyDescent="0.25">
      <c r="A36" s="224" t="s">
        <v>38</v>
      </c>
      <c r="B36" s="116" t="s">
        <v>2</v>
      </c>
      <c r="C36" s="13">
        <v>78.75</v>
      </c>
      <c r="D36" s="724" t="s">
        <v>679</v>
      </c>
      <c r="E36" s="116" t="s">
        <v>667</v>
      </c>
      <c r="F36" s="13">
        <v>45</v>
      </c>
    </row>
    <row r="37" spans="1:6" ht="21" x14ac:dyDescent="0.4">
      <c r="A37" s="224" t="s">
        <v>40</v>
      </c>
      <c r="B37" s="129" t="s">
        <v>1</v>
      </c>
      <c r="C37" s="13">
        <v>30</v>
      </c>
      <c r="D37" s="951" t="s">
        <v>38</v>
      </c>
      <c r="E37" s="129" t="s">
        <v>668</v>
      </c>
      <c r="F37" s="13">
        <v>95.625</v>
      </c>
    </row>
    <row r="38" spans="1:6" ht="21" x14ac:dyDescent="0.4">
      <c r="A38" s="951"/>
      <c r="B38" s="129"/>
      <c r="C38" s="13"/>
      <c r="D38" s="951" t="s">
        <v>35</v>
      </c>
      <c r="E38" s="129" t="s">
        <v>668</v>
      </c>
      <c r="F38" s="13">
        <v>5.625</v>
      </c>
    </row>
    <row r="39" spans="1:6" ht="21" x14ac:dyDescent="0.4">
      <c r="A39" s="951"/>
      <c r="B39" s="129"/>
      <c r="C39" s="13"/>
      <c r="D39" s="951" t="s">
        <v>40</v>
      </c>
      <c r="E39" s="129" t="s">
        <v>670</v>
      </c>
      <c r="F39" s="13">
        <v>36</v>
      </c>
    </row>
    <row r="40" spans="1:6" ht="21.6" thickBot="1" x14ac:dyDescent="0.45">
      <c r="A40" s="1221"/>
      <c r="B40" s="1057"/>
      <c r="C40" s="1222"/>
      <c r="D40" s="1221" t="s">
        <v>664</v>
      </c>
      <c r="E40" s="1057" t="s">
        <v>670</v>
      </c>
      <c r="F40" s="1222">
        <v>1.5</v>
      </c>
    </row>
    <row r="41" spans="1:6" ht="20.399999999999999" x14ac:dyDescent="0.25">
      <c r="A41" s="1089" t="s">
        <v>57</v>
      </c>
      <c r="B41" s="7"/>
      <c r="C41" s="619">
        <f>SUM(C42:C46)</f>
        <v>191.25</v>
      </c>
      <c r="D41" s="1187"/>
      <c r="E41" s="7"/>
      <c r="F41" s="619">
        <f>SUM(F42:F46)</f>
        <v>130.875</v>
      </c>
    </row>
    <row r="42" spans="1:6" ht="21" x14ac:dyDescent="0.25">
      <c r="A42" s="224" t="s">
        <v>58</v>
      </c>
      <c r="B42" s="57" t="s">
        <v>3</v>
      </c>
      <c r="C42" s="13">
        <v>45</v>
      </c>
      <c r="D42" s="724" t="s">
        <v>684</v>
      </c>
      <c r="E42" s="57" t="s">
        <v>3</v>
      </c>
      <c r="F42" s="13">
        <v>45</v>
      </c>
    </row>
    <row r="43" spans="1:6" ht="21" x14ac:dyDescent="0.4">
      <c r="A43" s="224" t="s">
        <v>35</v>
      </c>
      <c r="B43" s="57" t="s">
        <v>2</v>
      </c>
      <c r="C43" s="1213">
        <v>39.375</v>
      </c>
      <c r="D43" s="951" t="s">
        <v>38</v>
      </c>
      <c r="E43" s="57" t="s">
        <v>2</v>
      </c>
      <c r="F43" s="1213">
        <v>50.625</v>
      </c>
    </row>
    <row r="44" spans="1:6" ht="21" x14ac:dyDescent="0.4">
      <c r="A44" s="224" t="s">
        <v>38</v>
      </c>
      <c r="B44" s="57" t="s">
        <v>1</v>
      </c>
      <c r="C44" s="1213">
        <v>61.875</v>
      </c>
      <c r="D44" s="951" t="s">
        <v>36</v>
      </c>
      <c r="E44" s="57" t="s">
        <v>1</v>
      </c>
      <c r="F44" s="13">
        <v>22.5</v>
      </c>
    </row>
    <row r="45" spans="1:6" ht="21" x14ac:dyDescent="0.4">
      <c r="A45" s="224" t="s">
        <v>36</v>
      </c>
      <c r="B45" s="57" t="s">
        <v>1</v>
      </c>
      <c r="C45" s="13">
        <v>45</v>
      </c>
      <c r="D45" s="951" t="s">
        <v>664</v>
      </c>
      <c r="E45" s="57" t="s">
        <v>1</v>
      </c>
      <c r="F45" s="13">
        <v>1.5</v>
      </c>
    </row>
    <row r="46" spans="1:6" ht="21.6" thickBot="1" x14ac:dyDescent="0.45">
      <c r="A46" s="1215"/>
      <c r="B46" s="2"/>
      <c r="C46" s="5"/>
      <c r="D46" s="1215" t="s">
        <v>35</v>
      </c>
      <c r="E46" s="2" t="s">
        <v>2</v>
      </c>
      <c r="F46" s="5">
        <v>11.25</v>
      </c>
    </row>
    <row r="47" spans="1:6" s="54" customFormat="1" ht="21" x14ac:dyDescent="0.25">
      <c r="A47" s="1105" t="s">
        <v>323</v>
      </c>
      <c r="B47" s="1226"/>
      <c r="C47" s="1227">
        <f>SUM(C48:C52)</f>
        <v>260.625</v>
      </c>
      <c r="D47" s="1251"/>
      <c r="E47" s="1252"/>
      <c r="F47" s="1253"/>
    </row>
    <row r="48" spans="1:6" ht="21" x14ac:dyDescent="0.25">
      <c r="A48" s="224" t="s">
        <v>50</v>
      </c>
      <c r="B48" s="53" t="s">
        <v>30</v>
      </c>
      <c r="C48" s="13">
        <v>45</v>
      </c>
      <c r="D48" s="50"/>
      <c r="E48" s="20"/>
      <c r="F48" s="1254"/>
    </row>
    <row r="49" spans="1:6" ht="21" x14ac:dyDescent="0.25">
      <c r="A49" s="224" t="s">
        <v>38</v>
      </c>
      <c r="B49" s="53" t="s">
        <v>2</v>
      </c>
      <c r="C49" s="1213">
        <v>84.375</v>
      </c>
      <c r="D49" s="50"/>
      <c r="E49" s="20"/>
      <c r="F49" s="1254"/>
    </row>
    <row r="50" spans="1:6" ht="21" x14ac:dyDescent="0.25">
      <c r="A50" s="224" t="s">
        <v>36</v>
      </c>
      <c r="B50" s="53" t="s">
        <v>1</v>
      </c>
      <c r="C50" s="13">
        <v>56.25</v>
      </c>
      <c r="D50" s="50"/>
      <c r="E50" s="20"/>
      <c r="F50" s="1254"/>
    </row>
    <row r="51" spans="1:6" ht="21" x14ac:dyDescent="0.25">
      <c r="A51" s="224" t="s">
        <v>51</v>
      </c>
      <c r="B51" s="53" t="s">
        <v>30</v>
      </c>
      <c r="C51" s="13">
        <v>45</v>
      </c>
      <c r="D51" s="50"/>
      <c r="E51" s="20"/>
      <c r="F51" s="1254"/>
    </row>
    <row r="52" spans="1:6" ht="21.6" thickBot="1" x14ac:dyDescent="0.3">
      <c r="A52" s="1228" t="s">
        <v>40</v>
      </c>
      <c r="B52" s="1229" t="s">
        <v>1</v>
      </c>
      <c r="C52" s="1222">
        <v>30</v>
      </c>
      <c r="D52" s="1232"/>
      <c r="E52" s="1233"/>
      <c r="F52" s="1255"/>
    </row>
    <row r="53" spans="1:6" x14ac:dyDescent="0.25">
      <c r="A53" s="897" t="s">
        <v>66</v>
      </c>
      <c r="B53" s="7"/>
      <c r="C53" s="1218">
        <f>SUM(C54:C55)</f>
        <v>67.5</v>
      </c>
      <c r="D53" s="7"/>
      <c r="E53" s="7"/>
      <c r="F53" s="1256"/>
    </row>
    <row r="54" spans="1:6" ht="21" x14ac:dyDescent="0.25">
      <c r="A54" s="224" t="s">
        <v>68</v>
      </c>
      <c r="B54" s="57" t="s">
        <v>3</v>
      </c>
      <c r="C54" s="13">
        <v>45</v>
      </c>
      <c r="D54" s="11"/>
      <c r="E54" s="57"/>
      <c r="F54" s="850"/>
    </row>
    <row r="55" spans="1:6" ht="21.6" thickBot="1" x14ac:dyDescent="0.3">
      <c r="A55" s="1228" t="s">
        <v>36</v>
      </c>
      <c r="B55" s="1231" t="s">
        <v>1</v>
      </c>
      <c r="C55" s="1222">
        <v>22.5</v>
      </c>
      <c r="D55" s="1230"/>
      <c r="E55" s="1231"/>
      <c r="F55" s="1257"/>
    </row>
    <row r="56" spans="1:6" ht="18" x14ac:dyDescent="0.25">
      <c r="A56" s="276" t="s">
        <v>320</v>
      </c>
      <c r="B56" s="12"/>
      <c r="C56" s="284">
        <f>C2+C9+C16+C23+C30+C34+C41+C47+C53</f>
        <v>1546.875</v>
      </c>
      <c r="D56" s="92"/>
      <c r="E56" s="12"/>
      <c r="F56" s="284">
        <f>F2+F9+F16+F23+F30+F34+F41+F47+F53</f>
        <v>1285.125</v>
      </c>
    </row>
    <row r="57" spans="1:6" ht="18" x14ac:dyDescent="0.25">
      <c r="A57" s="266" t="s">
        <v>321</v>
      </c>
      <c r="B57" s="12"/>
      <c r="C57" s="283">
        <f>C56/(15*35)</f>
        <v>2.9464285714285716</v>
      </c>
      <c r="D57" s="92"/>
      <c r="E57" s="12"/>
      <c r="F57" s="283">
        <f>F56/(15*35)</f>
        <v>2.447857142857143</v>
      </c>
    </row>
    <row r="58" spans="1:6" ht="18" x14ac:dyDescent="0.25">
      <c r="A58" s="266" t="s">
        <v>322</v>
      </c>
      <c r="B58" s="12"/>
      <c r="C58" s="281">
        <f>F57</f>
        <v>2.447857142857143</v>
      </c>
      <c r="D58" s="21"/>
      <c r="E58" s="12"/>
      <c r="F58" s="2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53</vt:i4>
      </vt:variant>
    </vt:vector>
  </HeadingPairs>
  <TitlesOfParts>
    <vt:vector size="53" baseType="lpstr">
      <vt:lpstr>ตยคำนวณ_FTEstaff</vt:lpstr>
      <vt:lpstr>AssoAssEE_ตรี</vt:lpstr>
      <vt:lpstr>FullLecEE_ตรี</vt:lpstr>
      <vt:lpstr>AssoAssEE_โทเอก</vt:lpstr>
      <vt:lpstr>FullLecEE_โทเอก</vt:lpstr>
      <vt:lpstr>AssoAss_ตรีชีวการแพทย์</vt:lpstr>
      <vt:lpstr>FullLec_ตรีชีวการแพทย์</vt:lpstr>
      <vt:lpstr>AssoAssME_ตรี</vt:lpstr>
      <vt:lpstr>FullLecME_ตรี</vt:lpstr>
      <vt:lpstr>AssoAssME_โทเอก</vt:lpstr>
      <vt:lpstr>FullLecME_โทเอก</vt:lpstr>
      <vt:lpstr>AssoAss_ตรีเมคา</vt:lpstr>
      <vt:lpstr>FullLec_ตรีเมคา</vt:lpstr>
      <vt:lpstr>AssoAss_โทเอก_เทคโนโลยี</vt:lpstr>
      <vt:lpstr>FullLec_เทคโนโลยีพลังงาน</vt:lpstr>
      <vt:lpstr>AssoAss_ตรี_CE</vt:lpstr>
      <vt:lpstr>FullLec_ตรี_CE</vt:lpstr>
      <vt:lpstr>AssoAss_โทเอก_CE</vt:lpstr>
      <vt:lpstr>FullLec_โทเอก_CE</vt:lpstr>
      <vt:lpstr>AssoAss_ตรี_สวล</vt:lpstr>
      <vt:lpstr>FullLec_ตรี_สวล</vt:lpstr>
      <vt:lpstr>AssoAss_โทเอก_สวล</vt:lpstr>
      <vt:lpstr>FullLec_โทเอก_สวล</vt:lpstr>
      <vt:lpstr>AssoAssIE_ตรี</vt:lpstr>
      <vt:lpstr>FullLecIE_ตรี</vt:lpstr>
      <vt:lpstr>AssoAss_ตรี_การผลิต</vt:lpstr>
      <vt:lpstr>FullLec_ตรี_การผลิต</vt:lpstr>
      <vt:lpstr>AssoAss_โทเอก_อกและระบบ</vt:lpstr>
      <vt:lpstr>FullLec_โทเอก_อกและระบบ</vt:lpstr>
      <vt:lpstr>AssoAss_โทเอก_โลจิสติกส์</vt:lpstr>
      <vt:lpstr>FullLec_โทเอก_โลจิสติกส์</vt:lpstr>
      <vt:lpstr>FullLec_โทเอก_โลจิสติกส์ (New)</vt:lpstr>
      <vt:lpstr>AssoAssChE_ตรี</vt:lpstr>
      <vt:lpstr>FullLecChE_ตรี</vt:lpstr>
      <vt:lpstr>AssoAssChE_โทเอก</vt:lpstr>
      <vt:lpstr>AssoAssMnE_ตรี</vt:lpstr>
      <vt:lpstr>FullLecMnE_ตรี</vt:lpstr>
      <vt:lpstr>AssoAss_ตรี_วัสดุ</vt:lpstr>
      <vt:lpstr>FullLec_ตรี_วัสดุ</vt:lpstr>
      <vt:lpstr>AssoAssMnE_โทเอก</vt:lpstr>
      <vt:lpstr>FullLecMnE_โทเอก</vt:lpstr>
      <vt:lpstr>AssoAss_โทเอก_วัสดุ</vt:lpstr>
      <vt:lpstr>FullLec_โทเอก_วัสดุ</vt:lpstr>
      <vt:lpstr>AssoAss_โทเอก_เหมืองแร่วัสดุ</vt:lpstr>
      <vt:lpstr>FullLec_โทเอกเหมืองแร่วัสดุ</vt:lpstr>
      <vt:lpstr>AssoAssCoE_ตรี</vt:lpstr>
      <vt:lpstr>FullLecCoE_ตรี</vt:lpstr>
      <vt:lpstr>AssoAssCoE_โทเอก</vt:lpstr>
      <vt:lpstr>FullLecCoE_โทเอก</vt:lpstr>
      <vt:lpstr>AssoAssMIT_โท</vt:lpstr>
      <vt:lpstr>FullLecMIT_โท</vt:lpstr>
      <vt:lpstr>AssoAssMIM_โท</vt:lpstr>
      <vt:lpstr>FullLecMIM_โท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</dc:creator>
  <cp:lastModifiedBy>SIRIN</cp:lastModifiedBy>
  <cp:lastPrinted>2019-05-13T04:43:29Z</cp:lastPrinted>
  <dcterms:created xsi:type="dcterms:W3CDTF">2017-06-21T04:21:04Z</dcterms:created>
  <dcterms:modified xsi:type="dcterms:W3CDTF">2019-05-28T06:36:57Z</dcterms:modified>
</cp:coreProperties>
</file>