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120" windowHeight="7935" firstSheet="2" activeTab="5"/>
  </bookViews>
  <sheets>
    <sheet name="1.work system(หน่วยงานในคณะ)" sheetId="1" r:id="rId1"/>
    <sheet name="1.work system (ภาพรวมคณะ)" sheetId="2" r:id="rId2"/>
    <sheet name="Sub Process สารสนเทศ" sheetId="3" r:id="rId3"/>
    <sheet name="3.SIPOC ฮาร์ดแวร์" sheetId="4" r:id="rId4"/>
    <sheet name="3.SIPOC ซอต์ฟแวร์" sheetId="5" r:id="rId5"/>
    <sheet name="3.SIPOC โครงการ" sheetId="6" r:id="rId6"/>
    <sheet name="DV-IDENTITY-0" sheetId="7" state="veryHidden" r:id="rId7"/>
  </sheets>
  <definedNames>
    <definedName name="_xlnm.Print_Titles" localSheetId="2">'Sub Process สารสนเทศ'!$5:$5</definedName>
  </definedNames>
  <calcPr fullCalcOnLoad="1"/>
</workbook>
</file>

<file path=xl/sharedStrings.xml><?xml version="1.0" encoding="utf-8"?>
<sst xmlns="http://schemas.openxmlformats.org/spreadsheetml/2006/main" count="143" uniqueCount="93">
  <si>
    <t>Work System ระดับหน่วยงาน (ภาควิชา / หน่วยงานภายในคณะ)</t>
  </si>
  <si>
    <t>Core Process</t>
  </si>
  <si>
    <t>Support</t>
  </si>
  <si>
    <t>Process</t>
  </si>
  <si>
    <t>ภาควิชา / หน่วยงาน …………………………………………………..</t>
  </si>
  <si>
    <t>คณะ ……………………………………………………………………..</t>
  </si>
  <si>
    <t>Work System ระดับคณะ</t>
  </si>
  <si>
    <t>Output</t>
  </si>
  <si>
    <t>กระบวนการย่อย (Sub Process) Level 1</t>
  </si>
  <si>
    <t>กระบวนการย่อย (Sub Process) Level 2</t>
  </si>
  <si>
    <t>กระบวนการย่อย (Sub Process) Level 3</t>
  </si>
  <si>
    <t>กระบวนการ (Process)</t>
  </si>
  <si>
    <t>Page ………../…..…….</t>
  </si>
  <si>
    <t>(มีกี่กระบวนการก็ได้)</t>
  </si>
  <si>
    <t>Wokshop 2.1</t>
  </si>
  <si>
    <t>Workshop 3 : SIPOC Model</t>
  </si>
  <si>
    <t>Customer Requirement</t>
  </si>
  <si>
    <t>Output Specification</t>
  </si>
  <si>
    <t>Process Specification</t>
  </si>
  <si>
    <t>Stakeholder requirement</t>
  </si>
  <si>
    <t>Input Specification</t>
  </si>
  <si>
    <t>Stakeholder</t>
  </si>
  <si>
    <t>Input</t>
  </si>
  <si>
    <t>Customers</t>
  </si>
  <si>
    <t>Workshop 2.2 : จัดทำ Process และ Sub Process ระดับหน่วยงาน (ภาควิชา)</t>
  </si>
  <si>
    <t>คณะ วิศวกรรมศาสตร์  มหาวิทยาลัยสงขลานครินทร์</t>
  </si>
  <si>
    <t xml:space="preserve"> - นักศึกษา</t>
  </si>
  <si>
    <t>คณะ วิศวกรรมศาสตร์</t>
  </si>
  <si>
    <t>คณะ :  วิศวกรรมศาสตร์</t>
  </si>
  <si>
    <t xml:space="preserve"> - ภาควิชา/หน่วยงานภายในคณะฯ</t>
  </si>
  <si>
    <t xml:space="preserve"> - ผู้รับบริการวิชาการ/โครงการวิจัย</t>
  </si>
  <si>
    <t xml:space="preserve"> - มหาวิทยาลัยสงขลานครินทร์</t>
  </si>
  <si>
    <t>ภาควิชา / หน่วยงาน  ฝ่ายคอมพิวเตอร์ทางวิศวกรรมศาสตร์</t>
  </si>
  <si>
    <t>6. กระบวนการจัดการระบบสารสนเทศ</t>
  </si>
  <si>
    <t>1.1. กระบวนการจัดทางด้านฮาร์ดแวร์</t>
  </si>
  <si>
    <t>1.2 กระบวนการจัดทางด้านซอต์ฟแวร์</t>
  </si>
  <si>
    <t>1.1.2 การจัดการโครงสร้างระบบเครือข่าย</t>
  </si>
  <si>
    <t>1.1.1 การจัดการศูนย์ข้อมูลและแม่ข่าย</t>
  </si>
  <si>
    <t>1.1.3 การจัดการห้องปฏิบัติการคอมพิวเตอร์</t>
  </si>
  <si>
    <t>1.1.5 การจัดการระบบคอมพิวเตอร์ในห้องเรียน</t>
  </si>
  <si>
    <t>1.1.4 การจัดการระบบคอมพิวเตอร์ในหน่วยงานของคณะฯ</t>
  </si>
  <si>
    <t>1.1.1.1 การจัดสรรทรัพยากรระบบคอมพิวเตอร์</t>
  </si>
  <si>
    <t>1.1.1.2 การสำรองข้อมูล</t>
  </si>
  <si>
    <t>1.1.1.3 การวางแผนรองรับการขยายตัว</t>
  </si>
  <si>
    <t>1.1.2.1 การจัดการจัดเชื่อมต่อหลัก</t>
  </si>
  <si>
    <t>1.1.2.2 การจัดการเครือข่ายแบบใช้สาย</t>
  </si>
  <si>
    <t>1.1.2.3 การจัดการเครือข่ายแบบไร้สาย</t>
  </si>
  <si>
    <t>1.1.3.1 การติดตั้งระบบ</t>
  </si>
  <si>
    <t>1.1.3.2 การวางแผนการใช้งาน</t>
  </si>
  <si>
    <t>1.3 กระบวนการจัดการโครงการ</t>
  </si>
  <si>
    <t>1.2.1 การพัฒนาซอต์ฟแวร์บริการ</t>
  </si>
  <si>
    <t>1.2.2 การจัดอบรมถ่ายทอดความรู้</t>
  </si>
  <si>
    <t xml:space="preserve">1.2.3 การวิจัยและพัฒนาบริการใหม่ </t>
  </si>
  <si>
    <t>AAAAAHf5Xa0=</t>
  </si>
  <si>
    <t>1.2.3.1 กระบวนการนำร่องเทคโนโลยีใหม่เพื่อรองรับการเปลี่ยนแปลง</t>
  </si>
  <si>
    <t>1.2.1.1 วางแผนและออกแบบระบบ</t>
  </si>
  <si>
    <t>1.3.1 กระบวนการติดตามการดำเนินงานโครงการต่างๆ</t>
  </si>
  <si>
    <t>1.3.2 ประสานงานและจัดการประชุม</t>
  </si>
  <si>
    <t>1.3.4 ประสานงานหน่วยงานภายนอก</t>
  </si>
  <si>
    <t>1.2.1.2 การจัดการข้อมูลและความปลอดภัยข้อมูล</t>
  </si>
  <si>
    <t>1.1.6 การจัดการความปลอดภัย</t>
  </si>
  <si>
    <t>1.1.7 การซ่อมบำรุง</t>
  </si>
  <si>
    <t>1.2.1.4 การทดสอบระบบ</t>
  </si>
  <si>
    <t>1.3.3 วางแผนการดำเนินงานโครงการและกำหนดแนวทางบริการใหม่ๆ</t>
  </si>
  <si>
    <t>1.2.1.3 การพัฒนาและออกแบบการใช้งานบริการซอต์ฟแวร์</t>
  </si>
  <si>
    <t>ศูนย์ข้อมูลที่มีความมั่นคงและรองรับการขยายตัว</t>
  </si>
  <si>
    <t>การเชื่อมต่อที่มีประสิทธิภาพและความปลอดภัย</t>
  </si>
  <si>
    <t>ห้องปฏิบัติการรองรับการเรียนการสอน</t>
  </si>
  <si>
    <t>ระบบคอมพิวเตอร์ที่พร้อมในการใช้งานของหน่วยงานต่างๆ</t>
  </si>
  <si>
    <t>คอมพิวเตอร์ที่พร้อมในการเรียนการสอนในห้องเรียน</t>
  </si>
  <si>
    <t>ระบบป้องกันการบุกรุกระบบ</t>
  </si>
  <si>
    <t>การให้บริการหากเกิดความเสียหายขึ้นอย่างรวดเร็วตามความต้องการ</t>
  </si>
  <si>
    <t>ซอต์ฟแวร์บริการต่างๆ สำหรับหน่วยงานในคณะ</t>
  </si>
  <si>
    <t>การใช้งานบริการอย่างมีประสิทธิภาพและบุคลกรมีความรู้ความเข้าใจบริการต่างๆ อย่างดี</t>
  </si>
  <si>
    <t>บริการใหม่ๆ ที่เพิ่มประสิทธิภาพการทำงาน</t>
  </si>
  <si>
    <t xml:space="preserve"> - คณะวิศวกรรมศาสตร์</t>
  </si>
  <si>
    <t xml:space="preserve"> - นโยบายของคณะวิศวฯ</t>
  </si>
  <si>
    <t xml:space="preserve"> - ความต้องการบริการด้านต่างๆ ของภาควิชา/หน่วยงาน</t>
  </si>
  <si>
    <t xml:space="preserve"> - ศูนย์ข้อมูลที่มีความมั่นคงและรองรับการขยายตัว</t>
  </si>
  <si>
    <t xml:space="preserve"> - การเชื่อมต่อที่มีประสิทธิภาพและความปลอดภัย</t>
  </si>
  <si>
    <t xml:space="preserve"> - ห้องปฏิบัติการรองรับการเรียนการสอน</t>
  </si>
  <si>
    <t xml:space="preserve"> - ระบบคอมพิวเตอร์ที่พร้อมในการใช้งานของหน่วยงานต่างๆ</t>
  </si>
  <si>
    <t xml:space="preserve"> - คอมพิวเตอร์ที่พร้อมในการเรียนการสอนในห้องเรียน</t>
  </si>
  <si>
    <t xml:space="preserve"> - ระบบป้องกันการบุกรุกระบบ</t>
  </si>
  <si>
    <t xml:space="preserve"> - การให้บริการหากเกิดความเสียหายขึ้นอย่างรวดเร็วตามความต้องการ</t>
  </si>
  <si>
    <t>ภาควิชา/หน่วยงาน  : ฝ่ายคอมพิวเตอร์ทางวิศวกรรมศาสตร์</t>
  </si>
  <si>
    <t>ชื่อกระบวนการ : 6. กระบวนการจัดทางด้านฮาร์ดแวร์</t>
  </si>
  <si>
    <t xml:space="preserve"> - ซอต์ฟแวร์บริการต่างๆ สำหรับหน่วยงานในคณะ</t>
  </si>
  <si>
    <t xml:space="preserve"> - การใช้งานบริการอย่างมีประสิทธิภาพและบุคลกรมีความรู้ความเข้าใจบริการต่างๆ อย่างดี</t>
  </si>
  <si>
    <t xml:space="preserve"> - บริการใหม่ๆ ที่เพิ่มประสิทธิภาพการทำงาน</t>
  </si>
  <si>
    <t>ชื่อกระบวนการ : 6. กระบวนการจัดทางด้านซอต์ฟแวร์</t>
  </si>
  <si>
    <t>ชื่อกระบวนการ : 6. กระบวนการจัดโครงการ</t>
  </si>
  <si>
    <t xml:space="preserve"> - ทิศทางการดำเนินงานของฝ่ายฯ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</si>
</sst>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7"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2"/>
      <color indexed="8"/>
      <name val="Tahoma"/>
      <family val="2"/>
    </font>
    <font>
      <u val="single"/>
      <sz val="12.1"/>
      <color indexed="12"/>
      <name val="Tahoma"/>
      <family val="2"/>
    </font>
    <font>
      <u val="single"/>
      <sz val="12.1"/>
      <color indexed="36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4"/>
      <color indexed="8"/>
      <name val="Angsana New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24" borderId="13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2" xfId="0" applyBorder="1" applyAlignment="1">
      <alignment vertical="top" wrapText="1"/>
    </xf>
    <xf numFmtId="0" fontId="5" fillId="11" borderId="13" xfId="0" applyFont="1" applyFill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11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19050</xdr:rowOff>
    </xdr:from>
    <xdr:to>
      <xdr:col>12</xdr:col>
      <xdr:colOff>47625</xdr:colOff>
      <xdr:row>15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009775" y="3105150"/>
          <a:ext cx="5524500" cy="29527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38100</xdr:rowOff>
    </xdr:from>
    <xdr:to>
      <xdr:col>12</xdr:col>
      <xdr:colOff>47625</xdr:colOff>
      <xdr:row>13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009775" y="2762250"/>
          <a:ext cx="5524500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66675</xdr:rowOff>
    </xdr:from>
    <xdr:to>
      <xdr:col>12</xdr:col>
      <xdr:colOff>47625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09775" y="2428875"/>
          <a:ext cx="5524500" cy="29527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85725</xdr:rowOff>
    </xdr:from>
    <xdr:to>
      <xdr:col>12</xdr:col>
      <xdr:colOff>47625</xdr:colOff>
      <xdr:row>10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2000250" y="2085975"/>
          <a:ext cx="553402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9525</xdr:rowOff>
    </xdr:from>
    <xdr:to>
      <xdr:col>6</xdr:col>
      <xdr:colOff>523875</xdr:colOff>
      <xdr:row>26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3067050" y="4181475"/>
          <a:ext cx="828675" cy="1190625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2.</a:t>
          </a:r>
        </a:p>
      </xdr:txBody>
    </xdr:sp>
    <xdr:clientData/>
  </xdr:twoCellAnchor>
  <xdr:twoCellAnchor>
    <xdr:from>
      <xdr:col>12</xdr:col>
      <xdr:colOff>95250</xdr:colOff>
      <xdr:row>4</xdr:row>
      <xdr:rowOff>171450</xdr:rowOff>
    </xdr:from>
    <xdr:to>
      <xdr:col>14</xdr:col>
      <xdr:colOff>57150</xdr:colOff>
      <xdr:row>26</xdr:row>
      <xdr:rowOff>57150</xdr:rowOff>
    </xdr:to>
    <xdr:sp>
      <xdr:nvSpPr>
        <xdr:cNvPr id="6" name="Isosceles Triangle 6"/>
        <xdr:cNvSpPr>
          <a:spLocks/>
        </xdr:cNvSpPr>
      </xdr:nvSpPr>
      <xdr:spPr>
        <a:xfrm rot="5400000">
          <a:off x="7581900" y="1447800"/>
          <a:ext cx="1333500" cy="3867150"/>
        </a:xfrm>
        <a:prstGeom prst="triangle">
          <a:avLst/>
        </a:prstGeom>
        <a:solidFill>
          <a:srgbClr val="D1630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171450</xdr:rowOff>
    </xdr:from>
    <xdr:to>
      <xdr:col>12</xdr:col>
      <xdr:colOff>57150</xdr:colOff>
      <xdr:row>17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2009775" y="3438525"/>
          <a:ext cx="553402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161925</xdr:rowOff>
    </xdr:from>
    <xdr:to>
      <xdr:col>12</xdr:col>
      <xdr:colOff>66675</xdr:colOff>
      <xdr:row>19</xdr:row>
      <xdr:rowOff>95250</xdr:rowOff>
    </xdr:to>
    <xdr:sp>
      <xdr:nvSpPr>
        <xdr:cNvPr id="8" name="Rectangle 8"/>
        <xdr:cNvSpPr>
          <a:spLocks/>
        </xdr:cNvSpPr>
      </xdr:nvSpPr>
      <xdr:spPr>
        <a:xfrm>
          <a:off x="2009775" y="3790950"/>
          <a:ext cx="5543550" cy="29527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104775</xdr:rowOff>
    </xdr:from>
    <xdr:to>
      <xdr:col>12</xdr:col>
      <xdr:colOff>66675</xdr:colOff>
      <xdr:row>8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000250" y="1743075"/>
          <a:ext cx="5553075" cy="31432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4</xdr:row>
      <xdr:rowOff>133350</xdr:rowOff>
    </xdr:from>
    <xdr:to>
      <xdr:col>12</xdr:col>
      <xdr:colOff>57150</xdr:colOff>
      <xdr:row>6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2009775" y="1409700"/>
          <a:ext cx="553402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552450</xdr:colOff>
      <xdr:row>20</xdr:row>
      <xdr:rowOff>9525</xdr:rowOff>
    </xdr:from>
    <xdr:to>
      <xdr:col>7</xdr:col>
      <xdr:colOff>590550</xdr:colOff>
      <xdr:row>26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3924300" y="4181475"/>
          <a:ext cx="723900" cy="12001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9525</xdr:rowOff>
    </xdr:from>
    <xdr:to>
      <xdr:col>12</xdr:col>
      <xdr:colOff>19050</xdr:colOff>
      <xdr:row>26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6819900" y="4181475"/>
          <a:ext cx="685800" cy="12001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676275</xdr:colOff>
      <xdr:row>20</xdr:row>
      <xdr:rowOff>9525</xdr:rowOff>
    </xdr:from>
    <xdr:to>
      <xdr:col>10</xdr:col>
      <xdr:colOff>676275</xdr:colOff>
      <xdr:row>26</xdr:row>
      <xdr:rowOff>123825</xdr:rowOff>
    </xdr:to>
    <xdr:sp>
      <xdr:nvSpPr>
        <xdr:cNvPr id="13" name="Rectangle 13"/>
        <xdr:cNvSpPr>
          <a:spLocks/>
        </xdr:cNvSpPr>
      </xdr:nvSpPr>
      <xdr:spPr>
        <a:xfrm>
          <a:off x="6105525" y="4181475"/>
          <a:ext cx="685800" cy="12001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647700</xdr:colOff>
      <xdr:row>20</xdr:row>
      <xdr:rowOff>0</xdr:rowOff>
    </xdr:from>
    <xdr:to>
      <xdr:col>9</xdr:col>
      <xdr:colOff>647700</xdr:colOff>
      <xdr:row>26</xdr:row>
      <xdr:rowOff>114300</xdr:rowOff>
    </xdr:to>
    <xdr:sp>
      <xdr:nvSpPr>
        <xdr:cNvPr id="14" name="Rectangle 14"/>
        <xdr:cNvSpPr>
          <a:spLocks/>
        </xdr:cNvSpPr>
      </xdr:nvSpPr>
      <xdr:spPr>
        <a:xfrm>
          <a:off x="5391150" y="4171950"/>
          <a:ext cx="685800" cy="12001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9525</xdr:rowOff>
    </xdr:from>
    <xdr:to>
      <xdr:col>8</xdr:col>
      <xdr:colOff>619125</xdr:colOff>
      <xdr:row>26</xdr:row>
      <xdr:rowOff>123825</xdr:rowOff>
    </xdr:to>
    <xdr:sp>
      <xdr:nvSpPr>
        <xdr:cNvPr id="15" name="Rectangle 15"/>
        <xdr:cNvSpPr>
          <a:spLocks/>
        </xdr:cNvSpPr>
      </xdr:nvSpPr>
      <xdr:spPr>
        <a:xfrm>
          <a:off x="4676775" y="4181475"/>
          <a:ext cx="685800" cy="12001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9525</xdr:rowOff>
    </xdr:from>
    <xdr:to>
      <xdr:col>5</xdr:col>
      <xdr:colOff>323850</xdr:colOff>
      <xdr:row>26</xdr:row>
      <xdr:rowOff>123825</xdr:rowOff>
    </xdr:to>
    <xdr:sp>
      <xdr:nvSpPr>
        <xdr:cNvPr id="16" name="Rectangle 16"/>
        <xdr:cNvSpPr>
          <a:spLocks/>
        </xdr:cNvSpPr>
      </xdr:nvSpPr>
      <xdr:spPr>
        <a:xfrm>
          <a:off x="2009775" y="4181475"/>
          <a:ext cx="1000125" cy="12001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</a:t>
          </a:r>
        </a:p>
      </xdr:txBody>
    </xdr:sp>
    <xdr:clientData/>
  </xdr:twoCellAnchor>
  <xdr:twoCellAnchor>
    <xdr:from>
      <xdr:col>3</xdr:col>
      <xdr:colOff>333375</xdr:colOff>
      <xdr:row>5</xdr:row>
      <xdr:rowOff>28575</xdr:rowOff>
    </xdr:from>
    <xdr:to>
      <xdr:col>3</xdr:col>
      <xdr:colOff>342900</xdr:colOff>
      <xdr:row>11</xdr:row>
      <xdr:rowOff>161925</xdr:rowOff>
    </xdr:to>
    <xdr:sp>
      <xdr:nvSpPr>
        <xdr:cNvPr id="17" name="Straight Arrow Connector 34"/>
        <xdr:cNvSpPr>
          <a:spLocks/>
        </xdr:cNvSpPr>
      </xdr:nvSpPr>
      <xdr:spPr>
        <a:xfrm flipV="1">
          <a:off x="1647825" y="1485900"/>
          <a:ext cx="9525" cy="1219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323850</xdr:colOff>
      <xdr:row>14</xdr:row>
      <xdr:rowOff>38100</xdr:rowOff>
    </xdr:from>
    <xdr:to>
      <xdr:col>3</xdr:col>
      <xdr:colOff>333375</xdr:colOff>
      <xdr:row>19</xdr:row>
      <xdr:rowOff>66675</xdr:rowOff>
    </xdr:to>
    <xdr:sp>
      <xdr:nvSpPr>
        <xdr:cNvPr id="18" name="Straight Arrow Connector 36"/>
        <xdr:cNvSpPr>
          <a:spLocks/>
        </xdr:cNvSpPr>
      </xdr:nvSpPr>
      <xdr:spPr>
        <a:xfrm flipH="1">
          <a:off x="1638300" y="3124200"/>
          <a:ext cx="9525" cy="933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85725</xdr:rowOff>
    </xdr:from>
    <xdr:to>
      <xdr:col>7</xdr:col>
      <xdr:colOff>0</xdr:colOff>
      <xdr:row>27</xdr:row>
      <xdr:rowOff>95250</xdr:rowOff>
    </xdr:to>
    <xdr:sp>
      <xdr:nvSpPr>
        <xdr:cNvPr id="19" name="Straight Arrow Connector 38"/>
        <xdr:cNvSpPr>
          <a:spLocks/>
        </xdr:cNvSpPr>
      </xdr:nvSpPr>
      <xdr:spPr>
        <a:xfrm flipH="1">
          <a:off x="2019300" y="5524500"/>
          <a:ext cx="20383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180975</xdr:colOff>
      <xdr:row>27</xdr:row>
      <xdr:rowOff>104775</xdr:rowOff>
    </xdr:from>
    <xdr:to>
      <xdr:col>12</xdr:col>
      <xdr:colOff>9525</xdr:colOff>
      <xdr:row>27</xdr:row>
      <xdr:rowOff>104775</xdr:rowOff>
    </xdr:to>
    <xdr:sp>
      <xdr:nvSpPr>
        <xdr:cNvPr id="20" name="Straight Arrow Connector 40"/>
        <xdr:cNvSpPr>
          <a:spLocks/>
        </xdr:cNvSpPr>
      </xdr:nvSpPr>
      <xdr:spPr>
        <a:xfrm>
          <a:off x="4924425" y="5543550"/>
          <a:ext cx="2571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638175</xdr:colOff>
      <xdr:row>4</xdr:row>
      <xdr:rowOff>123825</xdr:rowOff>
    </xdr:from>
    <xdr:to>
      <xdr:col>14</xdr:col>
      <xdr:colOff>561975</xdr:colOff>
      <xdr:row>35</xdr:row>
      <xdr:rowOff>28575</xdr:rowOff>
    </xdr:to>
    <xdr:sp>
      <xdr:nvSpPr>
        <xdr:cNvPr id="1" name="Isosceles Triangle 6"/>
        <xdr:cNvSpPr>
          <a:spLocks/>
        </xdr:cNvSpPr>
      </xdr:nvSpPr>
      <xdr:spPr>
        <a:xfrm rot="5400000">
          <a:off x="8124825" y="1019175"/>
          <a:ext cx="1295400" cy="5514975"/>
        </a:xfrm>
        <a:prstGeom prst="triangle">
          <a:avLst/>
        </a:prstGeom>
        <a:solidFill>
          <a:srgbClr val="D1630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38100</xdr:rowOff>
    </xdr:from>
    <xdr:to>
      <xdr:col>12</xdr:col>
      <xdr:colOff>600075</xdr:colOff>
      <xdr:row>13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581025" y="2381250"/>
          <a:ext cx="7505700" cy="31432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9.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กระบวนการจัดการศิษย์เก่าและชุมชนสัมพันธ์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กลุ่มงานสนับสนุนการวิจัยและบริการวิชาการ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กระบวนการจัดการศิษย์เก่าและชุมชนสัมพันธ์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กลุ่มงานสนับสนุนการวิจัยและบริการวิชาการ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295275</xdr:colOff>
      <xdr:row>8</xdr:row>
      <xdr:rowOff>85725</xdr:rowOff>
    </xdr:from>
    <xdr:to>
      <xdr:col>12</xdr:col>
      <xdr:colOff>619125</xdr:colOff>
      <xdr:row>10</xdr:row>
      <xdr:rowOff>38100</xdr:rowOff>
    </xdr:to>
    <xdr:sp>
      <xdr:nvSpPr>
        <xdr:cNvPr id="3" name="Rectangle 4"/>
        <xdr:cNvSpPr>
          <a:spLocks/>
        </xdr:cNvSpPr>
      </xdr:nvSpPr>
      <xdr:spPr>
        <a:xfrm>
          <a:off x="600075" y="1704975"/>
          <a:ext cx="7505700" cy="31432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กระบวนการจัดการและพัฒนาระบบคุณภาพ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กลุ่มงานแผนงานและพัฒนาคุณภาพ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4</xdr:col>
      <xdr:colOff>409575</xdr:colOff>
      <xdr:row>29</xdr:row>
      <xdr:rowOff>142875</xdr:rowOff>
    </xdr:from>
    <xdr:to>
      <xdr:col>7</xdr:col>
      <xdr:colOff>152400</xdr:colOff>
      <xdr:row>35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2409825" y="5562600"/>
          <a:ext cx="1800225" cy="97155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กระบวนการงานวิจัย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(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กลุ่มงานสนับสนุนการวิจัยและบริการวิชาการ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285750</xdr:colOff>
      <xdr:row>14</xdr:row>
      <xdr:rowOff>28575</xdr:rowOff>
    </xdr:from>
    <xdr:to>
      <xdr:col>12</xdr:col>
      <xdr:colOff>600075</xdr:colOff>
      <xdr:row>15</xdr:row>
      <xdr:rowOff>152400</xdr:rowOff>
    </xdr:to>
    <xdr:sp>
      <xdr:nvSpPr>
        <xdr:cNvPr id="5" name="Rectangle 8"/>
        <xdr:cNvSpPr>
          <a:spLocks/>
        </xdr:cNvSpPr>
      </xdr:nvSpPr>
      <xdr:spPr>
        <a:xfrm>
          <a:off x="590550" y="2733675"/>
          <a:ext cx="749617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10.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กระบวนการบริหารการเงินและบัญชี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กลุ่มงานการเงินและพัสดุ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
</a:t>
          </a:r>
        </a:p>
      </xdr:txBody>
    </xdr:sp>
    <xdr:clientData/>
  </xdr:twoCellAnchor>
  <xdr:twoCellAnchor>
    <xdr:from>
      <xdr:col>1</xdr:col>
      <xdr:colOff>295275</xdr:colOff>
      <xdr:row>10</xdr:row>
      <xdr:rowOff>66675</xdr:rowOff>
    </xdr:from>
    <xdr:to>
      <xdr:col>12</xdr:col>
      <xdr:colOff>609600</xdr:colOff>
      <xdr:row>12</xdr:row>
      <xdr:rowOff>28575</xdr:rowOff>
    </xdr:to>
    <xdr:sp>
      <xdr:nvSpPr>
        <xdr:cNvPr id="6" name="Rectangle 9"/>
        <xdr:cNvSpPr>
          <a:spLocks/>
        </xdr:cNvSpPr>
      </xdr:nvSpPr>
      <xdr:spPr>
        <a:xfrm>
          <a:off x="600075" y="2047875"/>
          <a:ext cx="7496175" cy="32385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8.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กระบวนการสนับสนุนการจัดการนักศึกษา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กลุ่มงานสนับสนุนวิชาการและกิจการนักศึกษา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
)</a:t>
          </a:r>
        </a:p>
      </xdr:txBody>
    </xdr:sp>
    <xdr:clientData/>
  </xdr:twoCellAnchor>
  <xdr:twoCellAnchor>
    <xdr:from>
      <xdr:col>1</xdr:col>
      <xdr:colOff>304800</xdr:colOff>
      <xdr:row>6</xdr:row>
      <xdr:rowOff>123825</xdr:rowOff>
    </xdr:from>
    <xdr:to>
      <xdr:col>12</xdr:col>
      <xdr:colOff>619125</xdr:colOff>
      <xdr:row>8</xdr:row>
      <xdr:rowOff>57150</xdr:rowOff>
    </xdr:to>
    <xdr:sp>
      <xdr:nvSpPr>
        <xdr:cNvPr id="7" name="Rectangle 10"/>
        <xdr:cNvSpPr>
          <a:spLocks/>
        </xdr:cNvSpPr>
      </xdr:nvSpPr>
      <xdr:spPr>
        <a:xfrm>
          <a:off x="609600" y="1381125"/>
          <a:ext cx="7496175" cy="29527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กระบวนการจัดหางบประมาณ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กลุ่มงานแผนงานและพัฒนาคุณภาพ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9</xdr:col>
      <xdr:colOff>657225</xdr:colOff>
      <xdr:row>29</xdr:row>
      <xdr:rowOff>161925</xdr:rowOff>
    </xdr:from>
    <xdr:to>
      <xdr:col>12</xdr:col>
      <xdr:colOff>552450</xdr:colOff>
      <xdr:row>35</xdr:row>
      <xdr:rowOff>19050</xdr:rowOff>
    </xdr:to>
    <xdr:sp>
      <xdr:nvSpPr>
        <xdr:cNvPr id="8" name="Rectangle 14"/>
        <xdr:cNvSpPr>
          <a:spLocks/>
        </xdr:cNvSpPr>
      </xdr:nvSpPr>
      <xdr:spPr>
        <a:xfrm>
          <a:off x="6086475" y="5581650"/>
          <a:ext cx="1952625" cy="942975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กระบวนการทำนุบำรุงศิลปวัฒนธรรม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(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กลุ่มงานบริหารทั่วไปและกลุ่มงานสนับสนุนวิชาการฯ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7</xdr:col>
      <xdr:colOff>219075</xdr:colOff>
      <xdr:row>29</xdr:row>
      <xdr:rowOff>152400</xdr:rowOff>
    </xdr:from>
    <xdr:to>
      <xdr:col>9</xdr:col>
      <xdr:colOff>581025</xdr:colOff>
      <xdr:row>35</xdr:row>
      <xdr:rowOff>19050</xdr:rowOff>
    </xdr:to>
    <xdr:sp>
      <xdr:nvSpPr>
        <xdr:cNvPr id="9" name="Rectangle 15"/>
        <xdr:cNvSpPr>
          <a:spLocks/>
        </xdr:cNvSpPr>
      </xdr:nvSpPr>
      <xdr:spPr>
        <a:xfrm>
          <a:off x="4276725" y="5572125"/>
          <a:ext cx="1733550" cy="952500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กระบวนการบริการวิชาการ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(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กลุ่มงานสนับสนุนการวิจัยและบริการวิชาการ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266700</xdr:colOff>
      <xdr:row>29</xdr:row>
      <xdr:rowOff>142875</xdr:rowOff>
    </xdr:from>
    <xdr:to>
      <xdr:col>4</xdr:col>
      <xdr:colOff>342900</xdr:colOff>
      <xdr:row>35</xdr:row>
      <xdr:rowOff>38100</xdr:rowOff>
    </xdr:to>
    <xdr:sp>
      <xdr:nvSpPr>
        <xdr:cNvPr id="10" name="Rectangle 16"/>
        <xdr:cNvSpPr>
          <a:spLocks/>
        </xdr:cNvSpPr>
      </xdr:nvSpPr>
      <xdr:spPr>
        <a:xfrm>
          <a:off x="571500" y="5562600"/>
          <a:ext cx="1771650" cy="981075"/>
        </a:xfrm>
        <a:prstGeom prst="rect">
          <a:avLst/>
        </a:prstGeom>
        <a:solidFill>
          <a:srgbClr val="DBEEF4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กระบวนการจัดการศึกษา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(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กลุ่มงานสนับสนุนวิชาการและกิจการนักศึกษา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266700</xdr:colOff>
      <xdr:row>35</xdr:row>
      <xdr:rowOff>161925</xdr:rowOff>
    </xdr:from>
    <xdr:to>
      <xdr:col>5</xdr:col>
      <xdr:colOff>581025</xdr:colOff>
      <xdr:row>35</xdr:row>
      <xdr:rowOff>171450</xdr:rowOff>
    </xdr:to>
    <xdr:sp>
      <xdr:nvSpPr>
        <xdr:cNvPr id="11" name="Straight Arrow Connector 19"/>
        <xdr:cNvSpPr>
          <a:spLocks/>
        </xdr:cNvSpPr>
      </xdr:nvSpPr>
      <xdr:spPr>
        <a:xfrm flipH="1">
          <a:off x="571500" y="6667500"/>
          <a:ext cx="269557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457200</xdr:colOff>
      <xdr:row>35</xdr:row>
      <xdr:rowOff>152400</xdr:rowOff>
    </xdr:from>
    <xdr:to>
      <xdr:col>12</xdr:col>
      <xdr:colOff>438150</xdr:colOff>
      <xdr:row>35</xdr:row>
      <xdr:rowOff>152400</xdr:rowOff>
    </xdr:to>
    <xdr:sp>
      <xdr:nvSpPr>
        <xdr:cNvPr id="12" name="Straight Arrow Connector 20"/>
        <xdr:cNvSpPr>
          <a:spLocks/>
        </xdr:cNvSpPr>
      </xdr:nvSpPr>
      <xdr:spPr>
        <a:xfrm>
          <a:off x="4514850" y="6657975"/>
          <a:ext cx="3409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21</xdr:row>
      <xdr:rowOff>114300</xdr:rowOff>
    </xdr:from>
    <xdr:to>
      <xdr:col>12</xdr:col>
      <xdr:colOff>600075</xdr:colOff>
      <xdr:row>23</xdr:row>
      <xdr:rowOff>57150</xdr:rowOff>
    </xdr:to>
    <xdr:sp>
      <xdr:nvSpPr>
        <xdr:cNvPr id="13" name="Rectangle 1"/>
        <xdr:cNvSpPr>
          <a:spLocks/>
        </xdr:cNvSpPr>
      </xdr:nvSpPr>
      <xdr:spPr>
        <a:xfrm>
          <a:off x="581025" y="4086225"/>
          <a:ext cx="7505700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14.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กระบวนการจัดการอาคารสถานที่และสาธารณูปการ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กลุ่มงานอาคารสถานที่และสาธารณูปการ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276225</xdr:colOff>
      <xdr:row>17</xdr:row>
      <xdr:rowOff>152400</xdr:rowOff>
    </xdr:from>
    <xdr:to>
      <xdr:col>12</xdr:col>
      <xdr:colOff>609600</xdr:colOff>
      <xdr:row>19</xdr:row>
      <xdr:rowOff>95250</xdr:rowOff>
    </xdr:to>
    <xdr:sp>
      <xdr:nvSpPr>
        <xdr:cNvPr id="14" name="Rectangle 1"/>
        <xdr:cNvSpPr>
          <a:spLocks/>
        </xdr:cNvSpPr>
      </xdr:nvSpPr>
      <xdr:spPr>
        <a:xfrm>
          <a:off x="581025" y="3400425"/>
          <a:ext cx="751522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กระบวนการจัดทรัพยากรมนุษย์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กลุ่มงานบริหารทั่วไป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266700</xdr:colOff>
      <xdr:row>19</xdr:row>
      <xdr:rowOff>133350</xdr:rowOff>
    </xdr:from>
    <xdr:to>
      <xdr:col>12</xdr:col>
      <xdr:colOff>609600</xdr:colOff>
      <xdr:row>21</xdr:row>
      <xdr:rowOff>76200</xdr:rowOff>
    </xdr:to>
    <xdr:sp>
      <xdr:nvSpPr>
        <xdr:cNvPr id="15" name="Rectangle 1"/>
        <xdr:cNvSpPr>
          <a:spLocks/>
        </xdr:cNvSpPr>
      </xdr:nvSpPr>
      <xdr:spPr>
        <a:xfrm>
          <a:off x="571500" y="3743325"/>
          <a:ext cx="7524750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13.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กระบวนการจัดการงานธุรการและงานสารบรรณ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กลุ่มงานบริหารทั่วไป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12</xdr:col>
      <xdr:colOff>609600</xdr:colOff>
      <xdr:row>17</xdr:row>
      <xdr:rowOff>123825</xdr:rowOff>
    </xdr:to>
    <xdr:sp>
      <xdr:nvSpPr>
        <xdr:cNvPr id="16" name="Rectangle 1"/>
        <xdr:cNvSpPr>
          <a:spLocks/>
        </xdr:cNvSpPr>
      </xdr:nvSpPr>
      <xdr:spPr>
        <a:xfrm>
          <a:off x="581025" y="3067050"/>
          <a:ext cx="751522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กระบวนการจัดหา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กลุ่มงานการเงินและพัสดุ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2</xdr:col>
      <xdr:colOff>161925</xdr:colOff>
      <xdr:row>16</xdr:row>
      <xdr:rowOff>152400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0" y="2819400"/>
          <a:ext cx="790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Support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Process</a:t>
          </a:r>
        </a:p>
      </xdr:txBody>
    </xdr:sp>
    <xdr:clientData/>
  </xdr:twoCellAnchor>
  <xdr:twoCellAnchor>
    <xdr:from>
      <xdr:col>6</xdr:col>
      <xdr:colOff>57150</xdr:colOff>
      <xdr:row>35</xdr:row>
      <xdr:rowOff>28575</xdr:rowOff>
    </xdr:from>
    <xdr:to>
      <xdr:col>7</xdr:col>
      <xdr:colOff>485775</xdr:colOff>
      <xdr:row>36</xdr:row>
      <xdr:rowOff>57150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3429000" y="65341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Core Process</a:t>
          </a:r>
        </a:p>
      </xdr:txBody>
    </xdr:sp>
    <xdr:clientData/>
  </xdr:twoCellAnchor>
  <xdr:twoCellAnchor>
    <xdr:from>
      <xdr:col>1</xdr:col>
      <xdr:colOff>285750</xdr:colOff>
      <xdr:row>23</xdr:row>
      <xdr:rowOff>76200</xdr:rowOff>
    </xdr:from>
    <xdr:to>
      <xdr:col>12</xdr:col>
      <xdr:colOff>609600</xdr:colOff>
      <xdr:row>25</xdr:row>
      <xdr:rowOff>19050</xdr:rowOff>
    </xdr:to>
    <xdr:sp>
      <xdr:nvSpPr>
        <xdr:cNvPr id="19" name="Rectangle 1"/>
        <xdr:cNvSpPr>
          <a:spLocks/>
        </xdr:cNvSpPr>
      </xdr:nvSpPr>
      <xdr:spPr>
        <a:xfrm>
          <a:off x="590550" y="4410075"/>
          <a:ext cx="7505700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15.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กระบวนการจัดการระบบสารสนเทศ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ฝ่ายคอมพิวเตอร์ทางวิศวกรรมศาสตร์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1</xdr:col>
      <xdr:colOff>295275</xdr:colOff>
      <xdr:row>25</xdr:row>
      <xdr:rowOff>47625</xdr:rowOff>
    </xdr:from>
    <xdr:to>
      <xdr:col>12</xdr:col>
      <xdr:colOff>609600</xdr:colOff>
      <xdr:row>26</xdr:row>
      <xdr:rowOff>171450</xdr:rowOff>
    </xdr:to>
    <xdr:sp>
      <xdr:nvSpPr>
        <xdr:cNvPr id="20" name="Rectangle 1"/>
        <xdr:cNvSpPr>
          <a:spLocks/>
        </xdr:cNvSpPr>
      </xdr:nvSpPr>
      <xdr:spPr>
        <a:xfrm>
          <a:off x="600075" y="4743450"/>
          <a:ext cx="749617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142875</xdr:rowOff>
    </xdr:from>
    <xdr:to>
      <xdr:col>12</xdr:col>
      <xdr:colOff>619125</xdr:colOff>
      <xdr:row>6</xdr:row>
      <xdr:rowOff>95250</xdr:rowOff>
    </xdr:to>
    <xdr:sp>
      <xdr:nvSpPr>
        <xdr:cNvPr id="21" name="Rectangle 10"/>
        <xdr:cNvSpPr>
          <a:spLocks/>
        </xdr:cNvSpPr>
      </xdr:nvSpPr>
      <xdr:spPr>
        <a:xfrm>
          <a:off x="609600" y="1038225"/>
          <a:ext cx="7496175" cy="314325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กระบวนการกำหนดนโยบายและการวางแผน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กลุ่มงานแผนงานและพัฒนาคุณภาพ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0</xdr:col>
      <xdr:colOff>161925</xdr:colOff>
      <xdr:row>17</xdr:row>
      <xdr:rowOff>38100</xdr:rowOff>
    </xdr:from>
    <xdr:to>
      <xdr:col>0</xdr:col>
      <xdr:colOff>161925</xdr:colOff>
      <xdr:row>27</xdr:row>
      <xdr:rowOff>9525</xdr:rowOff>
    </xdr:to>
    <xdr:sp>
      <xdr:nvSpPr>
        <xdr:cNvPr id="22" name="Line 160"/>
        <xdr:cNvSpPr>
          <a:spLocks/>
        </xdr:cNvSpPr>
      </xdr:nvSpPr>
      <xdr:spPr>
        <a:xfrm>
          <a:off x="161925" y="3286125"/>
          <a:ext cx="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27</xdr:row>
      <xdr:rowOff>19050</xdr:rowOff>
    </xdr:from>
    <xdr:to>
      <xdr:col>12</xdr:col>
      <xdr:colOff>609600</xdr:colOff>
      <xdr:row>28</xdr:row>
      <xdr:rowOff>142875</xdr:rowOff>
    </xdr:to>
    <xdr:sp>
      <xdr:nvSpPr>
        <xdr:cNvPr id="23" name="Rectangle 1"/>
        <xdr:cNvSpPr>
          <a:spLocks/>
        </xdr:cNvSpPr>
      </xdr:nvSpPr>
      <xdr:spPr>
        <a:xfrm>
          <a:off x="600075" y="5076825"/>
          <a:ext cx="7496175" cy="304800"/>
        </a:xfrm>
        <a:prstGeom prst="rect">
          <a:avLst/>
        </a:prstGeom>
        <a:solidFill>
          <a:srgbClr val="FCD5B5"/>
        </a:solidFill>
        <a:ln w="127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152400</xdr:colOff>
      <xdr:row>5</xdr:row>
      <xdr:rowOff>38100</xdr:rowOff>
    </xdr:from>
    <xdr:to>
      <xdr:col>0</xdr:col>
      <xdr:colOff>152400</xdr:colOff>
      <xdr:row>13</xdr:row>
      <xdr:rowOff>152400</xdr:rowOff>
    </xdr:to>
    <xdr:sp>
      <xdr:nvSpPr>
        <xdr:cNvPr id="24" name="Line 164"/>
        <xdr:cNvSpPr>
          <a:spLocks/>
        </xdr:cNvSpPr>
      </xdr:nvSpPr>
      <xdr:spPr>
        <a:xfrm>
          <a:off x="152400" y="1114425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0"/>
  <sheetViews>
    <sheetView zoomScale="80" zoomScaleNormal="80" zoomScalePageLayoutView="0" workbookViewId="0" topLeftCell="A1">
      <selection activeCell="P15" sqref="P15"/>
    </sheetView>
  </sheetViews>
  <sheetFormatPr defaultColWidth="9.00390625" defaultRowHeight="14.25"/>
  <cols>
    <col min="1" max="1" width="4.00390625" style="0" customWidth="1"/>
    <col min="2" max="2" width="4.25390625" style="0" customWidth="1"/>
  </cols>
  <sheetData>
    <row r="1" ht="36" customHeight="1">
      <c r="A1" s="1" t="s">
        <v>14</v>
      </c>
    </row>
    <row r="2" ht="18.75" customHeight="1">
      <c r="A2" s="1" t="s">
        <v>0</v>
      </c>
    </row>
    <row r="3" ht="21.75" customHeight="1">
      <c r="A3" s="1" t="s">
        <v>4</v>
      </c>
    </row>
    <row r="4" ht="24" customHeight="1">
      <c r="A4" s="1" t="s">
        <v>5</v>
      </c>
    </row>
    <row r="7" ht="14.25">
      <c r="N7" s="2"/>
    </row>
    <row r="13" ht="14.25">
      <c r="D13" t="s">
        <v>2</v>
      </c>
    </row>
    <row r="14" ht="14.25">
      <c r="D14" t="s">
        <v>3</v>
      </c>
    </row>
    <row r="15" ht="14.25">
      <c r="O15" s="3"/>
    </row>
    <row r="28" ht="14.25">
      <c r="H28" t="s">
        <v>1</v>
      </c>
    </row>
    <row r="30" ht="14.25">
      <c r="F30" t="s">
        <v>13</v>
      </c>
    </row>
  </sheetData>
  <sheetProtection/>
  <printOptions/>
  <pageMargins left="0.7" right="0.7" top="0.75" bottom="0.75" header="0.3" footer="0.3"/>
  <pageSetup horizontalDpi="600" verticalDpi="600" orientation="landscape" paperSize="9" r:id="rId2"/>
  <customProperties>
    <customPr name="DVSECTION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zoomScalePageLayoutView="0" workbookViewId="0" topLeftCell="A4">
      <selection activeCell="Q29" sqref="Q29"/>
    </sheetView>
  </sheetViews>
  <sheetFormatPr defaultColWidth="9.00390625" defaultRowHeight="14.25"/>
  <cols>
    <col min="1" max="1" width="4.00390625" style="11" customWidth="1"/>
    <col min="2" max="2" width="4.25390625" style="11" customWidth="1"/>
    <col min="3" max="16384" width="9.00390625" style="11" customWidth="1"/>
  </cols>
  <sheetData>
    <row r="1" s="13" customFormat="1" ht="18.75" customHeight="1">
      <c r="A1" s="1" t="s">
        <v>14</v>
      </c>
    </row>
    <row r="2" s="13" customFormat="1" ht="18.75" customHeight="1">
      <c r="A2" s="1" t="s">
        <v>6</v>
      </c>
    </row>
    <row r="3" s="13" customFormat="1" ht="18.75" customHeight="1">
      <c r="A3" s="1" t="s">
        <v>25</v>
      </c>
    </row>
    <row r="13" ht="14.25">
      <c r="O13" s="12"/>
    </row>
    <row r="38" ht="15">
      <c r="F38" s="13"/>
    </row>
  </sheetData>
  <sheetProtection/>
  <printOptions/>
  <pageMargins left="0.68" right="0.19" top="0.38" bottom="0.17" header="0.3" footer="0.16"/>
  <pageSetup horizontalDpi="600" verticalDpi="600" orientation="landscape" paperSize="9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0"/>
  <sheetViews>
    <sheetView zoomScalePageLayoutView="0" workbookViewId="0" topLeftCell="A19">
      <selection activeCell="B11" sqref="B11"/>
    </sheetView>
  </sheetViews>
  <sheetFormatPr defaultColWidth="9.00390625" defaultRowHeight="27" customHeight="1"/>
  <cols>
    <col min="1" max="1" width="25.75390625" style="0" customWidth="1"/>
    <col min="2" max="2" width="28.625" style="0" customWidth="1"/>
    <col min="3" max="3" width="28.375" style="0" customWidth="1"/>
    <col min="4" max="4" width="28.00390625" style="0" customWidth="1"/>
    <col min="5" max="5" width="24.375" style="0" customWidth="1"/>
  </cols>
  <sheetData>
    <row r="1" ht="27" customHeight="1">
      <c r="A1" s="5" t="s">
        <v>24</v>
      </c>
    </row>
    <row r="2" ht="27" customHeight="1">
      <c r="A2" s="5" t="s">
        <v>32</v>
      </c>
    </row>
    <row r="3" spans="1:5" ht="27" customHeight="1">
      <c r="A3" s="5" t="s">
        <v>27</v>
      </c>
      <c r="E3" t="s">
        <v>12</v>
      </c>
    </row>
    <row r="4" ht="9.75" customHeight="1"/>
    <row r="5" spans="1:5" s="15" customFormat="1" ht="27" customHeight="1">
      <c r="A5" s="17" t="s">
        <v>11</v>
      </c>
      <c r="B5" s="17" t="s">
        <v>8</v>
      </c>
      <c r="C5" s="17" t="s">
        <v>9</v>
      </c>
      <c r="D5" s="17" t="s">
        <v>10</v>
      </c>
      <c r="E5" s="17" t="s">
        <v>7</v>
      </c>
    </row>
    <row r="6" spans="1:5" s="19" customFormat="1" ht="27" customHeight="1">
      <c r="A6" s="18" t="s">
        <v>33</v>
      </c>
      <c r="B6" s="18" t="s">
        <v>34</v>
      </c>
      <c r="C6" s="18" t="s">
        <v>37</v>
      </c>
      <c r="D6" s="18" t="s">
        <v>41</v>
      </c>
      <c r="E6" s="18" t="s">
        <v>65</v>
      </c>
    </row>
    <row r="7" spans="1:5" s="19" customFormat="1" ht="27" customHeight="1">
      <c r="A7" s="20"/>
      <c r="B7" s="20"/>
      <c r="D7" s="20" t="s">
        <v>42</v>
      </c>
      <c r="E7" s="20"/>
    </row>
    <row r="8" spans="1:5" s="19" customFormat="1" ht="27" customHeight="1">
      <c r="A8" s="20"/>
      <c r="B8" s="20"/>
      <c r="D8" s="20" t="s">
        <v>43</v>
      </c>
      <c r="E8" s="20"/>
    </row>
    <row r="9" spans="1:5" s="19" customFormat="1" ht="27" customHeight="1">
      <c r="A9" s="20"/>
      <c r="B9" s="20"/>
      <c r="C9" s="20" t="s">
        <v>36</v>
      </c>
      <c r="D9" s="20" t="s">
        <v>44</v>
      </c>
      <c r="E9" s="20" t="s">
        <v>66</v>
      </c>
    </row>
    <row r="10" spans="1:5" s="19" customFormat="1" ht="27" customHeight="1">
      <c r="A10" s="20"/>
      <c r="B10" s="20"/>
      <c r="C10" s="20"/>
      <c r="D10" s="20" t="s">
        <v>45</v>
      </c>
      <c r="E10" s="20"/>
    </row>
    <row r="11" spans="1:5" s="19" customFormat="1" ht="27" customHeight="1">
      <c r="A11" s="20"/>
      <c r="B11" s="20"/>
      <c r="C11" s="20"/>
      <c r="D11" s="20" t="s">
        <v>46</v>
      </c>
      <c r="E11" s="20"/>
    </row>
    <row r="12" spans="1:5" s="19" customFormat="1" ht="27" customHeight="1">
      <c r="A12" s="20"/>
      <c r="B12" s="20"/>
      <c r="C12" s="20" t="s">
        <v>38</v>
      </c>
      <c r="D12" s="20" t="s">
        <v>47</v>
      </c>
      <c r="E12" s="20" t="s">
        <v>67</v>
      </c>
    </row>
    <row r="13" spans="1:5" s="19" customFormat="1" ht="27" customHeight="1">
      <c r="A13" s="20"/>
      <c r="B13" s="20"/>
      <c r="C13" s="20"/>
      <c r="D13" s="20" t="s">
        <v>48</v>
      </c>
      <c r="E13" s="20"/>
    </row>
    <row r="14" spans="1:5" s="19" customFormat="1" ht="27" customHeight="1">
      <c r="A14" s="20"/>
      <c r="B14" s="20"/>
      <c r="C14" s="20" t="s">
        <v>40</v>
      </c>
      <c r="D14" s="20"/>
      <c r="E14" s="20" t="s">
        <v>68</v>
      </c>
    </row>
    <row r="15" spans="1:5" s="19" customFormat="1" ht="27" customHeight="1">
      <c r="A15" s="20"/>
      <c r="B15" s="20"/>
      <c r="C15" s="20" t="s">
        <v>39</v>
      </c>
      <c r="D15" s="20"/>
      <c r="E15" s="20" t="s">
        <v>69</v>
      </c>
    </row>
    <row r="16" spans="1:5" s="19" customFormat="1" ht="27" customHeight="1">
      <c r="A16" s="20"/>
      <c r="B16" s="20"/>
      <c r="C16" s="20" t="s">
        <v>60</v>
      </c>
      <c r="D16" s="20"/>
      <c r="E16" s="20" t="s">
        <v>70</v>
      </c>
    </row>
    <row r="17" spans="1:5" s="19" customFormat="1" ht="27" customHeight="1">
      <c r="A17" s="21"/>
      <c r="B17" s="21"/>
      <c r="C17" s="21" t="s">
        <v>61</v>
      </c>
      <c r="D17" s="21"/>
      <c r="E17" s="21" t="s">
        <v>71</v>
      </c>
    </row>
    <row r="18" spans="1:5" s="19" customFormat="1" ht="27" customHeight="1">
      <c r="A18" s="20"/>
      <c r="B18" s="20" t="s">
        <v>35</v>
      </c>
      <c r="C18" s="20" t="s">
        <v>50</v>
      </c>
      <c r="D18" s="20" t="s">
        <v>55</v>
      </c>
      <c r="E18" s="20" t="s">
        <v>72</v>
      </c>
    </row>
    <row r="19" spans="1:5" s="19" customFormat="1" ht="27" customHeight="1">
      <c r="A19" s="20"/>
      <c r="B19" s="20"/>
      <c r="C19" s="20"/>
      <c r="D19" s="20" t="s">
        <v>59</v>
      </c>
      <c r="E19" s="20"/>
    </row>
    <row r="20" spans="1:5" s="19" customFormat="1" ht="27" customHeight="1">
      <c r="A20" s="20"/>
      <c r="B20" s="20"/>
      <c r="C20" s="20"/>
      <c r="D20" s="20" t="s">
        <v>64</v>
      </c>
      <c r="E20" s="20"/>
    </row>
    <row r="21" spans="1:5" s="19" customFormat="1" ht="27" customHeight="1">
      <c r="A21" s="20"/>
      <c r="B21" s="20"/>
      <c r="C21" s="20"/>
      <c r="D21" s="20" t="s">
        <v>62</v>
      </c>
      <c r="E21" s="20"/>
    </row>
    <row r="22" spans="1:5" s="19" customFormat="1" ht="48" customHeight="1">
      <c r="A22" s="20"/>
      <c r="B22" s="20"/>
      <c r="C22" s="20" t="s">
        <v>51</v>
      </c>
      <c r="D22" s="20"/>
      <c r="E22" s="20" t="s">
        <v>73</v>
      </c>
    </row>
    <row r="23" spans="1:5" s="19" customFormat="1" ht="30" customHeight="1">
      <c r="A23" s="20"/>
      <c r="B23" s="20"/>
      <c r="C23" s="20" t="s">
        <v>52</v>
      </c>
      <c r="D23" s="20" t="s">
        <v>54</v>
      </c>
      <c r="E23" s="20" t="s">
        <v>74</v>
      </c>
    </row>
    <row r="24" spans="1:5" s="19" customFormat="1" ht="12.75">
      <c r="A24" s="21"/>
      <c r="B24" s="21"/>
      <c r="C24" s="21"/>
      <c r="D24" s="21"/>
      <c r="E24" s="21"/>
    </row>
    <row r="25" spans="1:5" s="19" customFormat="1" ht="25.5">
      <c r="A25" s="20"/>
      <c r="B25" s="20" t="s">
        <v>49</v>
      </c>
      <c r="C25" s="20" t="s">
        <v>56</v>
      </c>
      <c r="D25" s="20"/>
      <c r="E25" s="20" t="s">
        <v>92</v>
      </c>
    </row>
    <row r="26" spans="1:5" s="19" customFormat="1" ht="27" customHeight="1">
      <c r="A26" s="20"/>
      <c r="B26" s="20"/>
      <c r="C26" s="20" t="s">
        <v>57</v>
      </c>
      <c r="D26" s="20"/>
      <c r="E26" s="20"/>
    </row>
    <row r="27" spans="1:5" s="19" customFormat="1" ht="30.75" customHeight="1">
      <c r="A27" s="20"/>
      <c r="B27" s="20"/>
      <c r="C27" s="20" t="s">
        <v>63</v>
      </c>
      <c r="D27" s="20"/>
      <c r="E27" s="20"/>
    </row>
    <row r="28" spans="1:5" s="19" customFormat="1" ht="30.75" customHeight="1">
      <c r="A28" s="20"/>
      <c r="B28" s="20"/>
      <c r="C28" s="20" t="s">
        <v>58</v>
      </c>
      <c r="D28" s="20"/>
      <c r="E28" s="20"/>
    </row>
    <row r="29" spans="1:5" s="14" customFormat="1" ht="14.25">
      <c r="A29" s="16"/>
      <c r="B29" s="16"/>
      <c r="D29" s="16"/>
      <c r="E29" s="16"/>
    </row>
    <row r="30" spans="1:5" ht="27" customHeight="1">
      <c r="A30" s="4"/>
      <c r="B30" s="4"/>
      <c r="C30" s="4"/>
      <c r="D30" s="4"/>
      <c r="E30" s="4"/>
    </row>
  </sheetData>
  <sheetProtection/>
  <printOptions/>
  <pageMargins left="0.3" right="0.17" top="0.47" bottom="0.78" header="0.24" footer="0.5118110236220472"/>
  <pageSetup horizontalDpi="600" verticalDpi="600" orientation="landscape" paperSize="9" r:id="rId1"/>
  <rowBreaks count="1" manualBreakCount="1">
    <brk id="24" max="255" man="1"/>
  </rowBreaks>
  <customProperties>
    <customPr name="DVSECTION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27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3.75390625" style="0" customWidth="1"/>
    <col min="2" max="2" width="22.375" style="0" customWidth="1"/>
    <col min="3" max="3" width="23.25390625" style="0" customWidth="1"/>
    <col min="4" max="4" width="30.25390625" style="0" customWidth="1"/>
    <col min="5" max="5" width="43.75390625" style="0" bestFit="1" customWidth="1"/>
    <col min="6" max="6" width="23.50390625" style="0" customWidth="1"/>
  </cols>
  <sheetData>
    <row r="1" ht="14.25">
      <c r="A1" s="5" t="s">
        <v>15</v>
      </c>
    </row>
    <row r="2" ht="22.5" customHeight="1">
      <c r="A2" s="5" t="s">
        <v>85</v>
      </c>
    </row>
    <row r="3" ht="21.75" customHeight="1">
      <c r="A3" s="5" t="s">
        <v>28</v>
      </c>
    </row>
    <row r="4" spans="1:6" ht="22.5" customHeight="1">
      <c r="A4" s="5" t="s">
        <v>86</v>
      </c>
      <c r="F4" t="s">
        <v>12</v>
      </c>
    </row>
    <row r="6" spans="2:6" ht="37.5" customHeight="1">
      <c r="B6" s="10" t="s">
        <v>21</v>
      </c>
      <c r="C6" s="10" t="s">
        <v>22</v>
      </c>
      <c r="D6" s="10" t="s">
        <v>3</v>
      </c>
      <c r="E6" s="10" t="s">
        <v>7</v>
      </c>
      <c r="F6" s="10" t="s">
        <v>23</v>
      </c>
    </row>
    <row r="7" spans="2:6" ht="14.25">
      <c r="B7" s="22" t="s">
        <v>31</v>
      </c>
      <c r="C7" s="6" t="s">
        <v>76</v>
      </c>
      <c r="D7" s="18" t="s">
        <v>34</v>
      </c>
      <c r="E7" s="6" t="s">
        <v>78</v>
      </c>
      <c r="F7" s="6" t="s">
        <v>29</v>
      </c>
    </row>
    <row r="8" spans="2:6" ht="23.25">
      <c r="B8" s="7" t="s">
        <v>75</v>
      </c>
      <c r="C8" s="7" t="s">
        <v>77</v>
      </c>
      <c r="D8" s="20"/>
      <c r="E8" s="7" t="s">
        <v>79</v>
      </c>
      <c r="F8" s="7" t="s">
        <v>26</v>
      </c>
    </row>
    <row r="9" spans="2:6" ht="14.25">
      <c r="B9" s="7"/>
      <c r="C9" s="7"/>
      <c r="D9" s="20"/>
      <c r="E9" s="7" t="s">
        <v>80</v>
      </c>
      <c r="F9" s="7" t="s">
        <v>30</v>
      </c>
    </row>
    <row r="10" spans="2:6" ht="14.25">
      <c r="B10" s="7"/>
      <c r="C10" s="7"/>
      <c r="D10" s="7"/>
      <c r="E10" s="7" t="s">
        <v>81</v>
      </c>
      <c r="F10" s="7"/>
    </row>
    <row r="11" spans="2:6" ht="14.25">
      <c r="B11" s="7"/>
      <c r="C11" s="7"/>
      <c r="D11" s="7"/>
      <c r="E11" s="7" t="s">
        <v>82</v>
      </c>
      <c r="F11" s="7"/>
    </row>
    <row r="12" spans="2:6" ht="14.25">
      <c r="B12" s="7"/>
      <c r="C12" s="7"/>
      <c r="D12" s="7"/>
      <c r="E12" s="7" t="s">
        <v>83</v>
      </c>
      <c r="F12" s="7"/>
    </row>
    <row r="13" spans="2:6" ht="14.25">
      <c r="B13" s="7"/>
      <c r="C13" s="7"/>
      <c r="D13" s="7"/>
      <c r="E13" s="7" t="s">
        <v>84</v>
      </c>
      <c r="F13" s="7"/>
    </row>
    <row r="14" spans="2:6" ht="14.25">
      <c r="B14" s="7"/>
      <c r="C14" s="7"/>
      <c r="D14" s="7"/>
      <c r="E14" s="7"/>
      <c r="F14" s="7"/>
    </row>
    <row r="15" spans="2:6" ht="14.25">
      <c r="B15" s="7"/>
      <c r="C15" s="7"/>
      <c r="D15" s="7"/>
      <c r="E15" s="7"/>
      <c r="F15" s="7"/>
    </row>
    <row r="16" spans="2:6" ht="14.25">
      <c r="B16" s="7"/>
      <c r="C16" s="7"/>
      <c r="D16" s="7"/>
      <c r="E16" s="7"/>
      <c r="F16" s="7"/>
    </row>
    <row r="17" spans="2:6" ht="14.25">
      <c r="B17" s="7"/>
      <c r="C17" s="7"/>
      <c r="D17" s="7"/>
      <c r="E17" s="7"/>
      <c r="F17" s="7"/>
    </row>
    <row r="18" spans="2:6" ht="37.5" customHeight="1">
      <c r="B18" s="9" t="s">
        <v>19</v>
      </c>
      <c r="C18" s="9" t="s">
        <v>20</v>
      </c>
      <c r="D18" s="9" t="s">
        <v>18</v>
      </c>
      <c r="E18" s="9" t="s">
        <v>17</v>
      </c>
      <c r="F18" s="9" t="s">
        <v>16</v>
      </c>
    </row>
    <row r="19" spans="2:6" ht="14.25">
      <c r="B19" s="7"/>
      <c r="C19" s="7"/>
      <c r="D19" s="7"/>
      <c r="E19" s="7"/>
      <c r="F19" s="7"/>
    </row>
    <row r="20" spans="2:6" ht="14.25">
      <c r="B20" s="7"/>
      <c r="C20" s="7"/>
      <c r="D20" s="7"/>
      <c r="E20" s="7"/>
      <c r="F20" s="7"/>
    </row>
    <row r="21" spans="2:6" ht="14.25">
      <c r="B21" s="7"/>
      <c r="C21" s="7"/>
      <c r="D21" s="7"/>
      <c r="E21" s="7"/>
      <c r="F21" s="7"/>
    </row>
    <row r="22" spans="2:6" ht="14.25">
      <c r="B22" s="7"/>
      <c r="C22" s="7"/>
      <c r="D22" s="7"/>
      <c r="E22" s="7"/>
      <c r="F22" s="7"/>
    </row>
    <row r="23" spans="2:6" ht="14.25">
      <c r="B23" s="7"/>
      <c r="C23" s="7"/>
      <c r="D23" s="7"/>
      <c r="E23" s="7"/>
      <c r="F23" s="7"/>
    </row>
    <row r="24" spans="2:6" ht="14.25">
      <c r="B24" s="7"/>
      <c r="C24" s="7"/>
      <c r="D24" s="7"/>
      <c r="E24" s="7"/>
      <c r="F24" s="7"/>
    </row>
    <row r="25" spans="2:6" ht="14.25">
      <c r="B25" s="7"/>
      <c r="C25" s="7"/>
      <c r="D25" s="7"/>
      <c r="E25" s="7"/>
      <c r="F25" s="7"/>
    </row>
    <row r="26" spans="2:6" ht="14.25">
      <c r="B26" s="7"/>
      <c r="C26" s="7"/>
      <c r="D26" s="7"/>
      <c r="E26" s="7"/>
      <c r="F26" s="7"/>
    </row>
    <row r="27" spans="2:6" ht="14.25">
      <c r="B27" s="8"/>
      <c r="C27" s="8"/>
      <c r="D27" s="8"/>
      <c r="E27" s="8"/>
      <c r="F27" s="8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  <customProperties>
    <customPr name="DVSECTION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3.75390625" style="0" customWidth="1"/>
    <col min="2" max="2" width="22.375" style="0" customWidth="1"/>
    <col min="3" max="3" width="23.25390625" style="0" customWidth="1"/>
    <col min="4" max="4" width="30.25390625" style="0" customWidth="1"/>
    <col min="5" max="5" width="39.625" style="0" bestFit="1" customWidth="1"/>
    <col min="6" max="6" width="23.50390625" style="0" customWidth="1"/>
  </cols>
  <sheetData>
    <row r="1" ht="14.25">
      <c r="A1" s="5" t="s">
        <v>15</v>
      </c>
    </row>
    <row r="2" ht="22.5" customHeight="1">
      <c r="A2" s="5" t="s">
        <v>85</v>
      </c>
    </row>
    <row r="3" ht="21.75" customHeight="1">
      <c r="A3" s="5" t="s">
        <v>28</v>
      </c>
    </row>
    <row r="4" spans="1:6" ht="22.5" customHeight="1">
      <c r="A4" s="5" t="s">
        <v>90</v>
      </c>
      <c r="F4" t="s">
        <v>12</v>
      </c>
    </row>
    <row r="6" spans="2:6" ht="37.5" customHeight="1">
      <c r="B6" s="10" t="s">
        <v>21</v>
      </c>
      <c r="C6" s="10" t="s">
        <v>22</v>
      </c>
      <c r="D6" s="10" t="s">
        <v>3</v>
      </c>
      <c r="E6" s="10" t="s">
        <v>7</v>
      </c>
      <c r="F6" s="10" t="s">
        <v>23</v>
      </c>
    </row>
    <row r="7" spans="2:6" ht="14.25">
      <c r="B7" s="22" t="s">
        <v>31</v>
      </c>
      <c r="C7" s="6" t="s">
        <v>76</v>
      </c>
      <c r="D7" s="18" t="s">
        <v>35</v>
      </c>
      <c r="E7" s="6" t="s">
        <v>87</v>
      </c>
      <c r="F7" s="6" t="s">
        <v>29</v>
      </c>
    </row>
    <row r="8" spans="2:6" ht="23.25">
      <c r="B8" s="7" t="s">
        <v>75</v>
      </c>
      <c r="C8" s="7" t="s">
        <v>77</v>
      </c>
      <c r="D8" s="20"/>
      <c r="E8" s="7" t="s">
        <v>88</v>
      </c>
      <c r="F8" s="7" t="s">
        <v>26</v>
      </c>
    </row>
    <row r="9" spans="2:6" ht="14.25">
      <c r="B9" s="7"/>
      <c r="C9" s="7"/>
      <c r="D9" s="20"/>
      <c r="E9" s="7" t="s">
        <v>89</v>
      </c>
      <c r="F9" s="7" t="s">
        <v>30</v>
      </c>
    </row>
    <row r="10" spans="2:6" ht="14.25">
      <c r="B10" s="7"/>
      <c r="C10" s="7"/>
      <c r="D10" s="7"/>
      <c r="E10" s="7"/>
      <c r="F10" s="7"/>
    </row>
    <row r="11" spans="2:6" ht="14.25">
      <c r="B11" s="7"/>
      <c r="C11" s="7"/>
      <c r="D11" s="7"/>
      <c r="E11" s="7"/>
      <c r="F11" s="7"/>
    </row>
    <row r="12" spans="2:6" ht="14.25">
      <c r="B12" s="7"/>
      <c r="C12" s="7"/>
      <c r="D12" s="7"/>
      <c r="E12" s="7"/>
      <c r="F12" s="7"/>
    </row>
    <row r="13" spans="2:6" ht="14.25">
      <c r="B13" s="7"/>
      <c r="C13" s="7"/>
      <c r="D13" s="7"/>
      <c r="E13" s="7"/>
      <c r="F13" s="7"/>
    </row>
    <row r="14" spans="2:6" ht="14.25">
      <c r="B14" s="7"/>
      <c r="C14" s="7"/>
      <c r="D14" s="7"/>
      <c r="E14" s="7"/>
      <c r="F14" s="7"/>
    </row>
    <row r="15" spans="2:6" ht="14.25">
      <c r="B15" s="7"/>
      <c r="C15" s="7"/>
      <c r="D15" s="7"/>
      <c r="E15" s="7"/>
      <c r="F15" s="7"/>
    </row>
    <row r="16" spans="2:6" ht="14.25">
      <c r="B16" s="7"/>
      <c r="C16" s="7"/>
      <c r="D16" s="7"/>
      <c r="E16" s="7"/>
      <c r="F16" s="7"/>
    </row>
    <row r="17" spans="2:6" ht="14.25">
      <c r="B17" s="7"/>
      <c r="C17" s="7"/>
      <c r="D17" s="7"/>
      <c r="E17" s="7"/>
      <c r="F17" s="7"/>
    </row>
    <row r="18" spans="2:6" ht="37.5" customHeight="1">
      <c r="B18" s="9" t="s">
        <v>19</v>
      </c>
      <c r="C18" s="9" t="s">
        <v>20</v>
      </c>
      <c r="D18" s="9" t="s">
        <v>18</v>
      </c>
      <c r="E18" s="9" t="s">
        <v>17</v>
      </c>
      <c r="F18" s="9" t="s">
        <v>16</v>
      </c>
    </row>
    <row r="19" spans="2:6" ht="14.25">
      <c r="B19" s="7"/>
      <c r="C19" s="7"/>
      <c r="D19" s="7"/>
      <c r="E19" s="7"/>
      <c r="F19" s="7"/>
    </row>
    <row r="20" spans="2:6" ht="14.25">
      <c r="B20" s="7"/>
      <c r="C20" s="7"/>
      <c r="D20" s="7"/>
      <c r="E20" s="7"/>
      <c r="F20" s="7"/>
    </row>
    <row r="21" spans="2:6" ht="14.25">
      <c r="B21" s="7"/>
      <c r="C21" s="7"/>
      <c r="D21" s="7"/>
      <c r="E21" s="7"/>
      <c r="F21" s="7"/>
    </row>
    <row r="22" spans="2:6" ht="14.25">
      <c r="B22" s="7"/>
      <c r="C22" s="7"/>
      <c r="D22" s="7"/>
      <c r="E22" s="7"/>
      <c r="F22" s="7"/>
    </row>
    <row r="23" spans="2:6" ht="14.25">
      <c r="B23" s="7"/>
      <c r="C23" s="7"/>
      <c r="D23" s="7"/>
      <c r="E23" s="7"/>
      <c r="F23" s="7"/>
    </row>
    <row r="24" spans="2:6" ht="14.25">
      <c r="B24" s="7"/>
      <c r="C24" s="7"/>
      <c r="D24" s="7"/>
      <c r="E24" s="7"/>
      <c r="F24" s="7"/>
    </row>
    <row r="25" spans="2:6" ht="14.25">
      <c r="B25" s="7"/>
      <c r="C25" s="7"/>
      <c r="D25" s="7"/>
      <c r="E25" s="7"/>
      <c r="F25" s="7"/>
    </row>
    <row r="26" spans="2:6" ht="14.25">
      <c r="B26" s="7"/>
      <c r="C26" s="7"/>
      <c r="D26" s="7"/>
      <c r="E26" s="7"/>
      <c r="F26" s="7"/>
    </row>
    <row r="27" spans="2:6" ht="14.25">
      <c r="B27" s="8"/>
      <c r="C27" s="8"/>
      <c r="D27" s="8"/>
      <c r="E27" s="8"/>
      <c r="F27" s="8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  <customProperties>
    <customPr name="DVSECTION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27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3.75390625" style="0" customWidth="1"/>
    <col min="2" max="2" width="22.375" style="0" customWidth="1"/>
    <col min="3" max="3" width="23.25390625" style="0" customWidth="1"/>
    <col min="4" max="4" width="30.25390625" style="0" customWidth="1"/>
    <col min="5" max="5" width="43.75390625" style="0" bestFit="1" customWidth="1"/>
    <col min="6" max="6" width="23.50390625" style="0" customWidth="1"/>
  </cols>
  <sheetData>
    <row r="1" ht="14.25">
      <c r="A1" s="5" t="s">
        <v>15</v>
      </c>
    </row>
    <row r="2" ht="22.5" customHeight="1">
      <c r="A2" s="5" t="s">
        <v>85</v>
      </c>
    </row>
    <row r="3" ht="21.75" customHeight="1">
      <c r="A3" s="5" t="s">
        <v>28</v>
      </c>
    </row>
    <row r="4" spans="1:6" ht="22.5" customHeight="1">
      <c r="A4" s="5" t="s">
        <v>91</v>
      </c>
      <c r="F4" t="s">
        <v>12</v>
      </c>
    </row>
    <row r="6" spans="2:6" ht="37.5" customHeight="1">
      <c r="B6" s="10" t="s">
        <v>21</v>
      </c>
      <c r="C6" s="10" t="s">
        <v>22</v>
      </c>
      <c r="D6" s="10" t="s">
        <v>3</v>
      </c>
      <c r="E6" s="10" t="s">
        <v>7</v>
      </c>
      <c r="F6" s="10" t="s">
        <v>23</v>
      </c>
    </row>
    <row r="7" spans="2:6" ht="14.25">
      <c r="B7" s="22" t="s">
        <v>31</v>
      </c>
      <c r="C7" s="6" t="s">
        <v>76</v>
      </c>
      <c r="D7" s="20" t="s">
        <v>49</v>
      </c>
      <c r="E7" s="6" t="s">
        <v>92</v>
      </c>
      <c r="F7" s="6" t="s">
        <v>29</v>
      </c>
    </row>
    <row r="8" spans="2:6" ht="23.25">
      <c r="B8" s="7" t="s">
        <v>75</v>
      </c>
      <c r="C8" s="7" t="s">
        <v>77</v>
      </c>
      <c r="D8" s="20"/>
      <c r="E8" s="7"/>
      <c r="F8" s="7" t="s">
        <v>26</v>
      </c>
    </row>
    <row r="9" spans="2:6" ht="14.25">
      <c r="B9" s="7"/>
      <c r="C9" s="7"/>
      <c r="D9" s="20"/>
      <c r="E9" s="7"/>
      <c r="F9" s="7" t="s">
        <v>30</v>
      </c>
    </row>
    <row r="10" spans="2:6" ht="14.25">
      <c r="B10" s="7"/>
      <c r="C10" s="7"/>
      <c r="D10" s="7"/>
      <c r="E10" s="7"/>
      <c r="F10" s="7"/>
    </row>
    <row r="11" spans="2:6" ht="14.25">
      <c r="B11" s="7"/>
      <c r="C11" s="7"/>
      <c r="D11" s="7"/>
      <c r="E11" s="7"/>
      <c r="F11" s="7"/>
    </row>
    <row r="12" spans="2:6" ht="14.25">
      <c r="B12" s="7"/>
      <c r="C12" s="7"/>
      <c r="D12" s="7"/>
      <c r="E12" s="7"/>
      <c r="F12" s="7"/>
    </row>
    <row r="13" spans="2:6" ht="14.25">
      <c r="B13" s="7"/>
      <c r="C13" s="7"/>
      <c r="D13" s="7"/>
      <c r="E13" s="7"/>
      <c r="F13" s="7"/>
    </row>
    <row r="14" spans="2:6" ht="14.25">
      <c r="B14" s="7"/>
      <c r="C14" s="7"/>
      <c r="D14" s="7"/>
      <c r="E14" s="7"/>
      <c r="F14" s="7"/>
    </row>
    <row r="15" spans="2:6" ht="14.25">
      <c r="B15" s="7"/>
      <c r="C15" s="7"/>
      <c r="D15" s="7"/>
      <c r="E15" s="7"/>
      <c r="F15" s="7"/>
    </row>
    <row r="16" spans="2:6" ht="14.25">
      <c r="B16" s="7"/>
      <c r="C16" s="7"/>
      <c r="D16" s="7"/>
      <c r="E16" s="7"/>
      <c r="F16" s="7"/>
    </row>
    <row r="17" spans="2:6" ht="14.25">
      <c r="B17" s="7"/>
      <c r="C17" s="7"/>
      <c r="D17" s="7"/>
      <c r="E17" s="7"/>
      <c r="F17" s="7"/>
    </row>
    <row r="18" spans="2:6" ht="37.5" customHeight="1">
      <c r="B18" s="9" t="s">
        <v>19</v>
      </c>
      <c r="C18" s="9" t="s">
        <v>20</v>
      </c>
      <c r="D18" s="9" t="s">
        <v>18</v>
      </c>
      <c r="E18" s="9" t="s">
        <v>17</v>
      </c>
      <c r="F18" s="9" t="s">
        <v>16</v>
      </c>
    </row>
    <row r="19" spans="2:6" ht="14.25">
      <c r="B19" s="7"/>
      <c r="C19" s="7"/>
      <c r="D19" s="7"/>
      <c r="E19" s="7"/>
      <c r="F19" s="7"/>
    </row>
    <row r="20" spans="2:6" ht="14.25">
      <c r="B20" s="7"/>
      <c r="C20" s="7"/>
      <c r="D20" s="7"/>
      <c r="E20" s="7"/>
      <c r="F20" s="7"/>
    </row>
    <row r="21" spans="2:6" ht="14.25">
      <c r="B21" s="7"/>
      <c r="C21" s="7"/>
      <c r="D21" s="7"/>
      <c r="E21" s="7"/>
      <c r="F21" s="7"/>
    </row>
    <row r="22" spans="2:6" ht="14.25">
      <c r="B22" s="7"/>
      <c r="C22" s="7"/>
      <c r="D22" s="7"/>
      <c r="E22" s="7"/>
      <c r="F22" s="7"/>
    </row>
    <row r="23" spans="2:6" ht="14.25">
      <c r="B23" s="7"/>
      <c r="C23" s="7"/>
      <c r="D23" s="7"/>
      <c r="E23" s="7"/>
      <c r="F23" s="7"/>
    </row>
    <row r="24" spans="2:6" ht="14.25">
      <c r="B24" s="7"/>
      <c r="C24" s="7"/>
      <c r="D24" s="7"/>
      <c r="E24" s="7"/>
      <c r="F24" s="7"/>
    </row>
    <row r="25" spans="2:6" ht="14.25">
      <c r="B25" s="7"/>
      <c r="C25" s="7"/>
      <c r="D25" s="7"/>
      <c r="E25" s="7"/>
      <c r="F25" s="7"/>
    </row>
    <row r="26" spans="2:6" ht="14.25">
      <c r="B26" s="7"/>
      <c r="C26" s="7"/>
      <c r="D26" s="7"/>
      <c r="E26" s="7"/>
      <c r="F26" s="7"/>
    </row>
    <row r="27" spans="2:6" ht="14.25">
      <c r="B27" s="8"/>
      <c r="C27" s="8"/>
      <c r="D27" s="8"/>
      <c r="E27" s="8"/>
      <c r="F27" s="8"/>
    </row>
  </sheetData>
  <sheetProtection/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  <customProperties>
    <customPr name="DVSECTION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IV8"/>
  <sheetViews>
    <sheetView zoomScalePageLayoutView="0" workbookViewId="0" topLeftCell="A1">
      <selection activeCell="FR5" sqref="FR5"/>
    </sheetView>
  </sheetViews>
  <sheetFormatPr defaultColWidth="9.00390625" defaultRowHeight="14.25"/>
  <sheetData>
    <row r="1" spans="1:256" ht="14.25">
      <c r="A1" t="e">
        <f>IF('1.work system(หน่วยงานในคณะ)'!1:1,"AAAAAD9f9QA=",0)</f>
        <v>#VALUE!</v>
      </c>
      <c r="B1" t="e">
        <f>AND('1.work system(หน่วยงานในคณะ)'!A1,"AAAAAD9f9QE=")</f>
        <v>#VALUE!</v>
      </c>
      <c r="C1" t="e">
        <f>AND('1.work system(หน่วยงานในคณะ)'!B1,"AAAAAD9f9QI=")</f>
        <v>#VALUE!</v>
      </c>
      <c r="D1" t="e">
        <f>AND('1.work system(หน่วยงานในคณะ)'!C1,"AAAAAD9f9QM=")</f>
        <v>#VALUE!</v>
      </c>
      <c r="E1" t="e">
        <f>AND('1.work system(หน่วยงานในคณะ)'!D1,"AAAAAD9f9QQ=")</f>
        <v>#VALUE!</v>
      </c>
      <c r="F1" t="e">
        <f>AND('1.work system(หน่วยงานในคณะ)'!E1,"AAAAAD9f9QU=")</f>
        <v>#VALUE!</v>
      </c>
      <c r="G1" t="e">
        <f>AND('1.work system(หน่วยงานในคณะ)'!F1,"AAAAAD9f9QY=")</f>
        <v>#VALUE!</v>
      </c>
      <c r="H1" t="e">
        <f>AND('1.work system(หน่วยงานในคณะ)'!G1,"AAAAAD9f9Qc=")</f>
        <v>#VALUE!</v>
      </c>
      <c r="I1" t="e">
        <f>AND('1.work system(หน่วยงานในคณะ)'!H1,"AAAAAD9f9Qg=")</f>
        <v>#VALUE!</v>
      </c>
      <c r="J1" t="e">
        <f>AND('1.work system(หน่วยงานในคณะ)'!I1,"AAAAAD9f9Qk=")</f>
        <v>#VALUE!</v>
      </c>
      <c r="K1" t="e">
        <f>AND('1.work system(หน่วยงานในคณะ)'!J1,"AAAAAD9f9Qo=")</f>
        <v>#VALUE!</v>
      </c>
      <c r="L1" t="e">
        <f>AND('1.work system(หน่วยงานในคณะ)'!K1,"AAAAAD9f9Qs=")</f>
        <v>#VALUE!</v>
      </c>
      <c r="M1" t="e">
        <f>AND('1.work system(หน่วยงานในคณะ)'!L1,"AAAAAD9f9Qw=")</f>
        <v>#VALUE!</v>
      </c>
      <c r="N1" t="e">
        <f>AND('1.work system(หน่วยงานในคณะ)'!M1,"AAAAAD9f9Q0=")</f>
        <v>#VALUE!</v>
      </c>
      <c r="O1" t="e">
        <f>AND('1.work system(หน่วยงานในคณะ)'!N1,"AAAAAD9f9Q4=")</f>
        <v>#VALUE!</v>
      </c>
      <c r="P1" t="e">
        <f>AND('1.work system(หน่วยงานในคณะ)'!O1,"AAAAAD9f9Q8=")</f>
        <v>#VALUE!</v>
      </c>
      <c r="Q1">
        <f>IF('1.work system(หน่วยงานในคณะ)'!2:2,"AAAAAD9f9RA=",0)</f>
        <v>0</v>
      </c>
      <c r="R1" t="e">
        <f>AND('1.work system(หน่วยงานในคณะ)'!A2,"AAAAAD9f9RE=")</f>
        <v>#VALUE!</v>
      </c>
      <c r="S1" t="e">
        <f>AND('1.work system(หน่วยงานในคณะ)'!B2,"AAAAAD9f9RI=")</f>
        <v>#VALUE!</v>
      </c>
      <c r="T1" t="e">
        <f>AND('1.work system(หน่วยงานในคณะ)'!C2,"AAAAAD9f9RM=")</f>
        <v>#VALUE!</v>
      </c>
      <c r="U1" t="e">
        <f>AND('1.work system(หน่วยงานในคณะ)'!D2,"AAAAAD9f9RQ=")</f>
        <v>#VALUE!</v>
      </c>
      <c r="V1" t="e">
        <f>AND('1.work system(หน่วยงานในคณะ)'!E2,"AAAAAD9f9RU=")</f>
        <v>#VALUE!</v>
      </c>
      <c r="W1" t="e">
        <f>AND('1.work system(หน่วยงานในคณะ)'!F2,"AAAAAD9f9RY=")</f>
        <v>#VALUE!</v>
      </c>
      <c r="X1" t="e">
        <f>AND('1.work system(หน่วยงานในคณะ)'!G2,"AAAAAD9f9Rc=")</f>
        <v>#VALUE!</v>
      </c>
      <c r="Y1" t="e">
        <f>AND('1.work system(หน่วยงานในคณะ)'!H2,"AAAAAD9f9Rg=")</f>
        <v>#VALUE!</v>
      </c>
      <c r="Z1" t="e">
        <f>AND('1.work system(หน่วยงานในคณะ)'!I2,"AAAAAD9f9Rk=")</f>
        <v>#VALUE!</v>
      </c>
      <c r="AA1" t="e">
        <f>AND('1.work system(หน่วยงานในคณะ)'!J2,"AAAAAD9f9Ro=")</f>
        <v>#VALUE!</v>
      </c>
      <c r="AB1" t="e">
        <f>AND('1.work system(หน่วยงานในคณะ)'!K2,"AAAAAD9f9Rs=")</f>
        <v>#VALUE!</v>
      </c>
      <c r="AC1" t="e">
        <f>AND('1.work system(หน่วยงานในคณะ)'!L2,"AAAAAD9f9Rw=")</f>
        <v>#VALUE!</v>
      </c>
      <c r="AD1" t="e">
        <f>AND('1.work system(หน่วยงานในคณะ)'!M2,"AAAAAD9f9R0=")</f>
        <v>#VALUE!</v>
      </c>
      <c r="AE1" t="e">
        <f>AND('1.work system(หน่วยงานในคณะ)'!N2,"AAAAAD9f9R4=")</f>
        <v>#VALUE!</v>
      </c>
      <c r="AF1" t="e">
        <f>AND('1.work system(หน่วยงานในคณะ)'!O2,"AAAAAD9f9R8=")</f>
        <v>#VALUE!</v>
      </c>
      <c r="AG1">
        <f>IF('1.work system(หน่วยงานในคณะ)'!3:3,"AAAAAD9f9SA=",0)</f>
        <v>0</v>
      </c>
      <c r="AH1" t="e">
        <f>AND('1.work system(หน่วยงานในคณะ)'!A3,"AAAAAD9f9SE=")</f>
        <v>#VALUE!</v>
      </c>
      <c r="AI1" t="e">
        <f>AND('1.work system(หน่วยงานในคณะ)'!B3,"AAAAAD9f9SI=")</f>
        <v>#VALUE!</v>
      </c>
      <c r="AJ1" t="e">
        <f>AND('1.work system(หน่วยงานในคณะ)'!C3,"AAAAAD9f9SM=")</f>
        <v>#VALUE!</v>
      </c>
      <c r="AK1" t="e">
        <f>AND('1.work system(หน่วยงานในคณะ)'!D3,"AAAAAD9f9SQ=")</f>
        <v>#VALUE!</v>
      </c>
      <c r="AL1" t="e">
        <f>AND('1.work system(หน่วยงานในคณะ)'!E3,"AAAAAD9f9SU=")</f>
        <v>#VALUE!</v>
      </c>
      <c r="AM1" t="e">
        <f>AND('1.work system(หน่วยงานในคณะ)'!F3,"AAAAAD9f9SY=")</f>
        <v>#VALUE!</v>
      </c>
      <c r="AN1" t="e">
        <f>AND('1.work system(หน่วยงานในคณะ)'!G3,"AAAAAD9f9Sc=")</f>
        <v>#VALUE!</v>
      </c>
      <c r="AO1" t="e">
        <f>AND('1.work system(หน่วยงานในคณะ)'!H3,"AAAAAD9f9Sg=")</f>
        <v>#VALUE!</v>
      </c>
      <c r="AP1" t="e">
        <f>AND('1.work system(หน่วยงานในคณะ)'!I3,"AAAAAD9f9Sk=")</f>
        <v>#VALUE!</v>
      </c>
      <c r="AQ1" t="e">
        <f>AND('1.work system(หน่วยงานในคณะ)'!J3,"AAAAAD9f9So=")</f>
        <v>#VALUE!</v>
      </c>
      <c r="AR1" t="e">
        <f>AND('1.work system(หน่วยงานในคณะ)'!K3,"AAAAAD9f9Ss=")</f>
        <v>#VALUE!</v>
      </c>
      <c r="AS1" t="e">
        <f>AND('1.work system(หน่วยงานในคณะ)'!L3,"AAAAAD9f9Sw=")</f>
        <v>#VALUE!</v>
      </c>
      <c r="AT1" t="e">
        <f>AND('1.work system(หน่วยงานในคณะ)'!M3,"AAAAAD9f9S0=")</f>
        <v>#VALUE!</v>
      </c>
      <c r="AU1" t="e">
        <f>AND('1.work system(หน่วยงานในคณะ)'!N3,"AAAAAD9f9S4=")</f>
        <v>#VALUE!</v>
      </c>
      <c r="AV1" t="e">
        <f>AND('1.work system(หน่วยงานในคณะ)'!O3,"AAAAAD9f9S8=")</f>
        <v>#VALUE!</v>
      </c>
      <c r="AW1">
        <f>IF('1.work system(หน่วยงานในคณะ)'!4:4,"AAAAAD9f9TA=",0)</f>
        <v>0</v>
      </c>
      <c r="AX1" t="e">
        <f>AND('1.work system(หน่วยงานในคณะ)'!A4,"AAAAAD9f9TE=")</f>
        <v>#VALUE!</v>
      </c>
      <c r="AY1" t="e">
        <f>AND('1.work system(หน่วยงานในคณะ)'!B4,"AAAAAD9f9TI=")</f>
        <v>#VALUE!</v>
      </c>
      <c r="AZ1" t="e">
        <f>AND('1.work system(หน่วยงานในคณะ)'!C4,"AAAAAD9f9TM=")</f>
        <v>#VALUE!</v>
      </c>
      <c r="BA1" t="e">
        <f>AND('1.work system(หน่วยงานในคณะ)'!D4,"AAAAAD9f9TQ=")</f>
        <v>#VALUE!</v>
      </c>
      <c r="BB1" t="e">
        <f>AND('1.work system(หน่วยงานในคณะ)'!E4,"AAAAAD9f9TU=")</f>
        <v>#VALUE!</v>
      </c>
      <c r="BC1" t="e">
        <f>AND('1.work system(หน่วยงานในคณะ)'!F4,"AAAAAD9f9TY=")</f>
        <v>#VALUE!</v>
      </c>
      <c r="BD1" t="e">
        <f>AND('1.work system(หน่วยงานในคณะ)'!G4,"AAAAAD9f9Tc=")</f>
        <v>#VALUE!</v>
      </c>
      <c r="BE1" t="e">
        <f>AND('1.work system(หน่วยงานในคณะ)'!H4,"AAAAAD9f9Tg=")</f>
        <v>#VALUE!</v>
      </c>
      <c r="BF1" t="e">
        <f>AND('1.work system(หน่วยงานในคณะ)'!I4,"AAAAAD9f9Tk=")</f>
        <v>#VALUE!</v>
      </c>
      <c r="BG1" t="e">
        <f>AND('1.work system(หน่วยงานในคณะ)'!J4,"AAAAAD9f9To=")</f>
        <v>#VALUE!</v>
      </c>
      <c r="BH1" t="e">
        <f>AND('1.work system(หน่วยงานในคณะ)'!K4,"AAAAAD9f9Ts=")</f>
        <v>#VALUE!</v>
      </c>
      <c r="BI1" t="e">
        <f>AND('1.work system(หน่วยงานในคณะ)'!L4,"AAAAAD9f9Tw=")</f>
        <v>#VALUE!</v>
      </c>
      <c r="BJ1" t="e">
        <f>AND('1.work system(หน่วยงานในคณะ)'!M4,"AAAAAD9f9T0=")</f>
        <v>#VALUE!</v>
      </c>
      <c r="BK1" t="e">
        <f>AND('1.work system(หน่วยงานในคณะ)'!N4,"AAAAAD9f9T4=")</f>
        <v>#VALUE!</v>
      </c>
      <c r="BL1" t="e">
        <f>AND('1.work system(หน่วยงานในคณะ)'!O4,"AAAAAD9f9T8=")</f>
        <v>#VALUE!</v>
      </c>
      <c r="BM1">
        <f>IF('1.work system(หน่วยงานในคณะ)'!5:5,"AAAAAD9f9UA=",0)</f>
        <v>0</v>
      </c>
      <c r="BN1" t="e">
        <f>AND('1.work system(หน่วยงานในคณะ)'!A5,"AAAAAD9f9UE=")</f>
        <v>#VALUE!</v>
      </c>
      <c r="BO1" t="e">
        <f>AND('1.work system(หน่วยงานในคณะ)'!B5,"AAAAAD9f9UI=")</f>
        <v>#VALUE!</v>
      </c>
      <c r="BP1" t="e">
        <f>AND('1.work system(หน่วยงานในคณะ)'!C5,"AAAAAD9f9UM=")</f>
        <v>#VALUE!</v>
      </c>
      <c r="BQ1" t="e">
        <f>AND('1.work system(หน่วยงานในคณะ)'!D5,"AAAAAD9f9UQ=")</f>
        <v>#VALUE!</v>
      </c>
      <c r="BR1" t="e">
        <f>AND('1.work system(หน่วยงานในคณะ)'!E5,"AAAAAD9f9UU=")</f>
        <v>#VALUE!</v>
      </c>
      <c r="BS1" t="e">
        <f>AND('1.work system(หน่วยงานในคณะ)'!F5,"AAAAAD9f9UY=")</f>
        <v>#VALUE!</v>
      </c>
      <c r="BT1" t="e">
        <f>AND('1.work system(หน่วยงานในคณะ)'!G5,"AAAAAD9f9Uc=")</f>
        <v>#VALUE!</v>
      </c>
      <c r="BU1" t="e">
        <f>AND('1.work system(หน่วยงานในคณะ)'!H5,"AAAAAD9f9Ug=")</f>
        <v>#VALUE!</v>
      </c>
      <c r="BV1" t="e">
        <f>AND('1.work system(หน่วยงานในคณะ)'!I5,"AAAAAD9f9Uk=")</f>
        <v>#VALUE!</v>
      </c>
      <c r="BW1" t="e">
        <f>AND('1.work system(หน่วยงานในคณะ)'!J5,"AAAAAD9f9Uo=")</f>
        <v>#VALUE!</v>
      </c>
      <c r="BX1" t="e">
        <f>AND('1.work system(หน่วยงานในคณะ)'!K5,"AAAAAD9f9Us=")</f>
        <v>#VALUE!</v>
      </c>
      <c r="BY1" t="e">
        <f>AND('1.work system(หน่วยงานในคณะ)'!L5,"AAAAAD9f9Uw=")</f>
        <v>#VALUE!</v>
      </c>
      <c r="BZ1" t="e">
        <f>AND('1.work system(หน่วยงานในคณะ)'!M5,"AAAAAD9f9U0=")</f>
        <v>#VALUE!</v>
      </c>
      <c r="CA1" t="e">
        <f>AND('1.work system(หน่วยงานในคณะ)'!N5,"AAAAAD9f9U4=")</f>
        <v>#VALUE!</v>
      </c>
      <c r="CB1" t="e">
        <f>AND('1.work system(หน่วยงานในคณะ)'!O5,"AAAAAD9f9U8=")</f>
        <v>#VALUE!</v>
      </c>
      <c r="CC1">
        <f>IF('1.work system(หน่วยงานในคณะ)'!6:6,"AAAAAD9f9VA=",0)</f>
        <v>0</v>
      </c>
      <c r="CD1" t="e">
        <f>AND('1.work system(หน่วยงานในคณะ)'!A6,"AAAAAD9f9VE=")</f>
        <v>#VALUE!</v>
      </c>
      <c r="CE1" t="e">
        <f>AND('1.work system(หน่วยงานในคณะ)'!B6,"AAAAAD9f9VI=")</f>
        <v>#VALUE!</v>
      </c>
      <c r="CF1" t="e">
        <f>AND('1.work system(หน่วยงานในคณะ)'!C6,"AAAAAD9f9VM=")</f>
        <v>#VALUE!</v>
      </c>
      <c r="CG1" t="e">
        <f>AND('1.work system(หน่วยงานในคณะ)'!D6,"AAAAAD9f9VQ=")</f>
        <v>#VALUE!</v>
      </c>
      <c r="CH1" t="e">
        <f>AND('1.work system(หน่วยงานในคณะ)'!E6,"AAAAAD9f9VU=")</f>
        <v>#VALUE!</v>
      </c>
      <c r="CI1" t="e">
        <f>AND('1.work system(หน่วยงานในคณะ)'!F6,"AAAAAD9f9VY=")</f>
        <v>#VALUE!</v>
      </c>
      <c r="CJ1" t="e">
        <f>AND('1.work system(หน่วยงานในคณะ)'!G6,"AAAAAD9f9Vc=")</f>
        <v>#VALUE!</v>
      </c>
      <c r="CK1" t="e">
        <f>AND('1.work system(หน่วยงานในคณะ)'!H6,"AAAAAD9f9Vg=")</f>
        <v>#VALUE!</v>
      </c>
      <c r="CL1" t="e">
        <f>AND('1.work system(หน่วยงานในคณะ)'!I6,"AAAAAD9f9Vk=")</f>
        <v>#VALUE!</v>
      </c>
      <c r="CM1" t="e">
        <f>AND('1.work system(หน่วยงานในคณะ)'!J6,"AAAAAD9f9Vo=")</f>
        <v>#VALUE!</v>
      </c>
      <c r="CN1" t="e">
        <f>AND('1.work system(หน่วยงานในคณะ)'!K6,"AAAAAD9f9Vs=")</f>
        <v>#VALUE!</v>
      </c>
      <c r="CO1" t="e">
        <f>AND('1.work system(หน่วยงานในคณะ)'!L6,"AAAAAD9f9Vw=")</f>
        <v>#VALUE!</v>
      </c>
      <c r="CP1" t="e">
        <f>AND('1.work system(หน่วยงานในคณะ)'!M6,"AAAAAD9f9V0=")</f>
        <v>#VALUE!</v>
      </c>
      <c r="CQ1" t="e">
        <f>AND('1.work system(หน่วยงานในคณะ)'!N6,"AAAAAD9f9V4=")</f>
        <v>#VALUE!</v>
      </c>
      <c r="CR1" t="e">
        <f>AND('1.work system(หน่วยงานในคณะ)'!O6,"AAAAAD9f9V8=")</f>
        <v>#VALUE!</v>
      </c>
      <c r="CS1">
        <f>IF('1.work system(หน่วยงานในคณะ)'!7:7,"AAAAAD9f9WA=",0)</f>
        <v>0</v>
      </c>
      <c r="CT1" t="e">
        <f>AND('1.work system(หน่วยงานในคณะ)'!A7,"AAAAAD9f9WE=")</f>
        <v>#VALUE!</v>
      </c>
      <c r="CU1" t="e">
        <f>AND('1.work system(หน่วยงานในคณะ)'!B7,"AAAAAD9f9WI=")</f>
        <v>#VALUE!</v>
      </c>
      <c r="CV1" t="e">
        <f>AND('1.work system(หน่วยงานในคณะ)'!C7,"AAAAAD9f9WM=")</f>
        <v>#VALUE!</v>
      </c>
      <c r="CW1" t="e">
        <f>AND('1.work system(หน่วยงานในคณะ)'!D7,"AAAAAD9f9WQ=")</f>
        <v>#VALUE!</v>
      </c>
      <c r="CX1" t="e">
        <f>AND('1.work system(หน่วยงานในคณะ)'!E7,"AAAAAD9f9WU=")</f>
        <v>#VALUE!</v>
      </c>
      <c r="CY1" t="e">
        <f>AND('1.work system(หน่วยงานในคณะ)'!F7,"AAAAAD9f9WY=")</f>
        <v>#VALUE!</v>
      </c>
      <c r="CZ1" t="e">
        <f>AND('1.work system(หน่วยงานในคณะ)'!G7,"AAAAAD9f9Wc=")</f>
        <v>#VALUE!</v>
      </c>
      <c r="DA1" t="e">
        <f>AND('1.work system(หน่วยงานในคณะ)'!H7,"AAAAAD9f9Wg=")</f>
        <v>#VALUE!</v>
      </c>
      <c r="DB1" t="e">
        <f>AND('1.work system(หน่วยงานในคณะ)'!I7,"AAAAAD9f9Wk=")</f>
        <v>#VALUE!</v>
      </c>
      <c r="DC1" t="e">
        <f>AND('1.work system(หน่วยงานในคณะ)'!J7,"AAAAAD9f9Wo=")</f>
        <v>#VALUE!</v>
      </c>
      <c r="DD1" t="e">
        <f>AND('1.work system(หน่วยงานในคณะ)'!K7,"AAAAAD9f9Ws=")</f>
        <v>#VALUE!</v>
      </c>
      <c r="DE1" t="e">
        <f>AND('1.work system(หน่วยงานในคณะ)'!L7,"AAAAAD9f9Ww=")</f>
        <v>#VALUE!</v>
      </c>
      <c r="DF1" t="e">
        <f>AND('1.work system(หน่วยงานในคณะ)'!M7,"AAAAAD9f9W0=")</f>
        <v>#VALUE!</v>
      </c>
      <c r="DG1" t="e">
        <f>AND('1.work system(หน่วยงานในคณะ)'!N7,"AAAAAD9f9W4=")</f>
        <v>#VALUE!</v>
      </c>
      <c r="DH1" t="e">
        <f>AND('1.work system(หน่วยงานในคณะ)'!O7,"AAAAAD9f9W8=")</f>
        <v>#VALUE!</v>
      </c>
      <c r="DI1">
        <f>IF('1.work system(หน่วยงานในคณะ)'!8:8,"AAAAAD9f9XA=",0)</f>
        <v>0</v>
      </c>
      <c r="DJ1" t="e">
        <f>AND('1.work system(หน่วยงานในคณะ)'!A8,"AAAAAD9f9XE=")</f>
        <v>#VALUE!</v>
      </c>
      <c r="DK1" t="e">
        <f>AND('1.work system(หน่วยงานในคณะ)'!B8,"AAAAAD9f9XI=")</f>
        <v>#VALUE!</v>
      </c>
      <c r="DL1" t="e">
        <f>AND('1.work system(หน่วยงานในคณะ)'!C8,"AAAAAD9f9XM=")</f>
        <v>#VALUE!</v>
      </c>
      <c r="DM1" t="e">
        <f>AND('1.work system(หน่วยงานในคณะ)'!D8,"AAAAAD9f9XQ=")</f>
        <v>#VALUE!</v>
      </c>
      <c r="DN1" t="e">
        <f>AND('1.work system(หน่วยงานในคณะ)'!E8,"AAAAAD9f9XU=")</f>
        <v>#VALUE!</v>
      </c>
      <c r="DO1" t="e">
        <f>AND('1.work system(หน่วยงานในคณะ)'!F8,"AAAAAD9f9XY=")</f>
        <v>#VALUE!</v>
      </c>
      <c r="DP1" t="e">
        <f>AND('1.work system(หน่วยงานในคณะ)'!G8,"AAAAAD9f9Xc=")</f>
        <v>#VALUE!</v>
      </c>
      <c r="DQ1" t="e">
        <f>AND('1.work system(หน่วยงานในคณะ)'!H8,"AAAAAD9f9Xg=")</f>
        <v>#VALUE!</v>
      </c>
      <c r="DR1" t="e">
        <f>AND('1.work system(หน่วยงานในคณะ)'!I8,"AAAAAD9f9Xk=")</f>
        <v>#VALUE!</v>
      </c>
      <c r="DS1" t="e">
        <f>AND('1.work system(หน่วยงานในคณะ)'!J8,"AAAAAD9f9Xo=")</f>
        <v>#VALUE!</v>
      </c>
      <c r="DT1" t="e">
        <f>AND('1.work system(หน่วยงานในคณะ)'!K8,"AAAAAD9f9Xs=")</f>
        <v>#VALUE!</v>
      </c>
      <c r="DU1" t="e">
        <f>AND('1.work system(หน่วยงานในคณะ)'!L8,"AAAAAD9f9Xw=")</f>
        <v>#VALUE!</v>
      </c>
      <c r="DV1" t="e">
        <f>AND('1.work system(หน่วยงานในคณะ)'!M8,"AAAAAD9f9X0=")</f>
        <v>#VALUE!</v>
      </c>
      <c r="DW1" t="e">
        <f>AND('1.work system(หน่วยงานในคณะ)'!N8,"AAAAAD9f9X4=")</f>
        <v>#VALUE!</v>
      </c>
      <c r="DX1" t="e">
        <f>AND('1.work system(หน่วยงานในคณะ)'!O8,"AAAAAD9f9X8=")</f>
        <v>#VALUE!</v>
      </c>
      <c r="DY1">
        <f>IF('1.work system(หน่วยงานในคณะ)'!9:9,"AAAAAD9f9YA=",0)</f>
        <v>0</v>
      </c>
      <c r="DZ1" t="e">
        <f>AND('1.work system(หน่วยงานในคณะ)'!A9,"AAAAAD9f9YE=")</f>
        <v>#VALUE!</v>
      </c>
      <c r="EA1" t="e">
        <f>AND('1.work system(หน่วยงานในคณะ)'!B9,"AAAAAD9f9YI=")</f>
        <v>#VALUE!</v>
      </c>
      <c r="EB1" t="e">
        <f>AND('1.work system(หน่วยงานในคณะ)'!C9,"AAAAAD9f9YM=")</f>
        <v>#VALUE!</v>
      </c>
      <c r="EC1" t="e">
        <f>AND('1.work system(หน่วยงานในคณะ)'!D9,"AAAAAD9f9YQ=")</f>
        <v>#VALUE!</v>
      </c>
      <c r="ED1" t="e">
        <f>AND('1.work system(หน่วยงานในคณะ)'!E9,"AAAAAD9f9YU=")</f>
        <v>#VALUE!</v>
      </c>
      <c r="EE1" t="e">
        <f>AND('1.work system(หน่วยงานในคณะ)'!F9,"AAAAAD9f9YY=")</f>
        <v>#VALUE!</v>
      </c>
      <c r="EF1" t="e">
        <f>AND('1.work system(หน่วยงานในคณะ)'!G9,"AAAAAD9f9Yc=")</f>
        <v>#VALUE!</v>
      </c>
      <c r="EG1" t="e">
        <f>AND('1.work system(หน่วยงานในคณะ)'!H9,"AAAAAD9f9Yg=")</f>
        <v>#VALUE!</v>
      </c>
      <c r="EH1" t="e">
        <f>AND('1.work system(หน่วยงานในคณะ)'!I9,"AAAAAD9f9Yk=")</f>
        <v>#VALUE!</v>
      </c>
      <c r="EI1" t="e">
        <f>AND('1.work system(หน่วยงานในคณะ)'!J9,"AAAAAD9f9Yo=")</f>
        <v>#VALUE!</v>
      </c>
      <c r="EJ1" t="e">
        <f>AND('1.work system(หน่วยงานในคณะ)'!K9,"AAAAAD9f9Ys=")</f>
        <v>#VALUE!</v>
      </c>
      <c r="EK1" t="e">
        <f>AND('1.work system(หน่วยงานในคณะ)'!L9,"AAAAAD9f9Yw=")</f>
        <v>#VALUE!</v>
      </c>
      <c r="EL1" t="e">
        <f>AND('1.work system(หน่วยงานในคณะ)'!M9,"AAAAAD9f9Y0=")</f>
        <v>#VALUE!</v>
      </c>
      <c r="EM1" t="e">
        <f>AND('1.work system(หน่วยงานในคณะ)'!N9,"AAAAAD9f9Y4=")</f>
        <v>#VALUE!</v>
      </c>
      <c r="EN1" t="e">
        <f>AND('1.work system(หน่วยงานในคณะ)'!O9,"AAAAAD9f9Y8=")</f>
        <v>#VALUE!</v>
      </c>
      <c r="EO1">
        <f>IF('1.work system(หน่วยงานในคณะ)'!10:10,"AAAAAD9f9ZA=",0)</f>
        <v>0</v>
      </c>
      <c r="EP1" t="e">
        <f>AND('1.work system(หน่วยงานในคณะ)'!A10,"AAAAAD9f9ZE=")</f>
        <v>#VALUE!</v>
      </c>
      <c r="EQ1" t="e">
        <f>AND('1.work system(หน่วยงานในคณะ)'!B10,"AAAAAD9f9ZI=")</f>
        <v>#VALUE!</v>
      </c>
      <c r="ER1" t="e">
        <f>AND('1.work system(หน่วยงานในคณะ)'!C10,"AAAAAD9f9ZM=")</f>
        <v>#VALUE!</v>
      </c>
      <c r="ES1" t="e">
        <f>AND('1.work system(หน่วยงานในคณะ)'!D10,"AAAAAD9f9ZQ=")</f>
        <v>#VALUE!</v>
      </c>
      <c r="ET1" t="e">
        <f>AND('1.work system(หน่วยงานในคณะ)'!E10,"AAAAAD9f9ZU=")</f>
        <v>#VALUE!</v>
      </c>
      <c r="EU1" t="e">
        <f>AND('1.work system(หน่วยงานในคณะ)'!F10,"AAAAAD9f9ZY=")</f>
        <v>#VALUE!</v>
      </c>
      <c r="EV1" t="e">
        <f>AND('1.work system(หน่วยงานในคณะ)'!G10,"AAAAAD9f9Zc=")</f>
        <v>#VALUE!</v>
      </c>
      <c r="EW1" t="e">
        <f>AND('1.work system(หน่วยงานในคณะ)'!H10,"AAAAAD9f9Zg=")</f>
        <v>#VALUE!</v>
      </c>
      <c r="EX1" t="e">
        <f>AND('1.work system(หน่วยงานในคณะ)'!I10,"AAAAAD9f9Zk=")</f>
        <v>#VALUE!</v>
      </c>
      <c r="EY1" t="e">
        <f>AND('1.work system(หน่วยงานในคณะ)'!J10,"AAAAAD9f9Zo=")</f>
        <v>#VALUE!</v>
      </c>
      <c r="EZ1" t="e">
        <f>AND('1.work system(หน่วยงานในคณะ)'!K10,"AAAAAD9f9Zs=")</f>
        <v>#VALUE!</v>
      </c>
      <c r="FA1" t="e">
        <f>AND('1.work system(หน่วยงานในคณะ)'!L10,"AAAAAD9f9Zw=")</f>
        <v>#VALUE!</v>
      </c>
      <c r="FB1" t="e">
        <f>AND('1.work system(หน่วยงานในคณะ)'!M10,"AAAAAD9f9Z0=")</f>
        <v>#VALUE!</v>
      </c>
      <c r="FC1" t="e">
        <f>AND('1.work system(หน่วยงานในคณะ)'!N10,"AAAAAD9f9Z4=")</f>
        <v>#VALUE!</v>
      </c>
      <c r="FD1" t="e">
        <f>AND('1.work system(หน่วยงานในคณะ)'!O10,"AAAAAD9f9Z8=")</f>
        <v>#VALUE!</v>
      </c>
      <c r="FE1">
        <f>IF('1.work system(หน่วยงานในคณะ)'!11:11,"AAAAAD9f9aA=",0)</f>
        <v>0</v>
      </c>
      <c r="FF1" t="e">
        <f>AND('1.work system(หน่วยงานในคณะ)'!A11,"AAAAAD9f9aE=")</f>
        <v>#VALUE!</v>
      </c>
      <c r="FG1" t="e">
        <f>AND('1.work system(หน่วยงานในคณะ)'!B11,"AAAAAD9f9aI=")</f>
        <v>#VALUE!</v>
      </c>
      <c r="FH1" t="e">
        <f>AND('1.work system(หน่วยงานในคณะ)'!C11,"AAAAAD9f9aM=")</f>
        <v>#VALUE!</v>
      </c>
      <c r="FI1" t="e">
        <f>AND('1.work system(หน่วยงานในคณะ)'!D11,"AAAAAD9f9aQ=")</f>
        <v>#VALUE!</v>
      </c>
      <c r="FJ1" t="e">
        <f>AND('1.work system(หน่วยงานในคณะ)'!E11,"AAAAAD9f9aU=")</f>
        <v>#VALUE!</v>
      </c>
      <c r="FK1" t="e">
        <f>AND('1.work system(หน่วยงานในคณะ)'!F11,"AAAAAD9f9aY=")</f>
        <v>#VALUE!</v>
      </c>
      <c r="FL1" t="e">
        <f>AND('1.work system(หน่วยงานในคณะ)'!G11,"AAAAAD9f9ac=")</f>
        <v>#VALUE!</v>
      </c>
      <c r="FM1" t="e">
        <f>AND('1.work system(หน่วยงานในคณะ)'!H11,"AAAAAD9f9ag=")</f>
        <v>#VALUE!</v>
      </c>
      <c r="FN1" t="e">
        <f>AND('1.work system(หน่วยงานในคณะ)'!I11,"AAAAAD9f9ak=")</f>
        <v>#VALUE!</v>
      </c>
      <c r="FO1" t="e">
        <f>AND('1.work system(หน่วยงานในคณะ)'!J11,"AAAAAD9f9ao=")</f>
        <v>#VALUE!</v>
      </c>
      <c r="FP1" t="e">
        <f>AND('1.work system(หน่วยงานในคณะ)'!K11,"AAAAAD9f9as=")</f>
        <v>#VALUE!</v>
      </c>
      <c r="FQ1" t="e">
        <f>AND('1.work system(หน่วยงานในคณะ)'!L11,"AAAAAD9f9aw=")</f>
        <v>#VALUE!</v>
      </c>
      <c r="FR1" t="e">
        <f>AND('1.work system(หน่วยงานในคณะ)'!M11,"AAAAAD9f9a0=")</f>
        <v>#VALUE!</v>
      </c>
      <c r="FS1" t="e">
        <f>AND('1.work system(หน่วยงานในคณะ)'!N11,"AAAAAD9f9a4=")</f>
        <v>#VALUE!</v>
      </c>
      <c r="FT1" t="e">
        <f>AND('1.work system(หน่วยงานในคณะ)'!O11,"AAAAAD9f9a8=")</f>
        <v>#VALUE!</v>
      </c>
      <c r="FU1">
        <f>IF('1.work system(หน่วยงานในคณะ)'!12:12,"AAAAAD9f9bA=",0)</f>
        <v>0</v>
      </c>
      <c r="FV1" t="e">
        <f>AND('1.work system(หน่วยงานในคณะ)'!A12,"AAAAAD9f9bE=")</f>
        <v>#VALUE!</v>
      </c>
      <c r="FW1" t="e">
        <f>AND('1.work system(หน่วยงานในคณะ)'!B12,"AAAAAD9f9bI=")</f>
        <v>#VALUE!</v>
      </c>
      <c r="FX1" t="e">
        <f>AND('1.work system(หน่วยงานในคณะ)'!C12,"AAAAAD9f9bM=")</f>
        <v>#VALUE!</v>
      </c>
      <c r="FY1" t="e">
        <f>AND('1.work system(หน่วยงานในคณะ)'!D12,"AAAAAD9f9bQ=")</f>
        <v>#VALUE!</v>
      </c>
      <c r="FZ1" t="e">
        <f>AND('1.work system(หน่วยงานในคณะ)'!E12,"AAAAAD9f9bU=")</f>
        <v>#VALUE!</v>
      </c>
      <c r="GA1" t="e">
        <f>AND('1.work system(หน่วยงานในคณะ)'!F12,"AAAAAD9f9bY=")</f>
        <v>#VALUE!</v>
      </c>
      <c r="GB1" t="e">
        <f>AND('1.work system(หน่วยงานในคณะ)'!G12,"AAAAAD9f9bc=")</f>
        <v>#VALUE!</v>
      </c>
      <c r="GC1" t="e">
        <f>AND('1.work system(หน่วยงานในคณะ)'!H12,"AAAAAD9f9bg=")</f>
        <v>#VALUE!</v>
      </c>
      <c r="GD1" t="e">
        <f>AND('1.work system(หน่วยงานในคณะ)'!I12,"AAAAAD9f9bk=")</f>
        <v>#VALUE!</v>
      </c>
      <c r="GE1" t="e">
        <f>AND('1.work system(หน่วยงานในคณะ)'!J12,"AAAAAD9f9bo=")</f>
        <v>#VALUE!</v>
      </c>
      <c r="GF1" t="e">
        <f>AND('1.work system(หน่วยงานในคณะ)'!K12,"AAAAAD9f9bs=")</f>
        <v>#VALUE!</v>
      </c>
      <c r="GG1" t="e">
        <f>AND('1.work system(หน่วยงานในคณะ)'!L12,"AAAAAD9f9bw=")</f>
        <v>#VALUE!</v>
      </c>
      <c r="GH1" t="e">
        <f>AND('1.work system(หน่วยงานในคณะ)'!M12,"AAAAAD9f9b0=")</f>
        <v>#VALUE!</v>
      </c>
      <c r="GI1" t="e">
        <f>AND('1.work system(หน่วยงานในคณะ)'!N12,"AAAAAD9f9b4=")</f>
        <v>#VALUE!</v>
      </c>
      <c r="GJ1" t="e">
        <f>AND('1.work system(หน่วยงานในคณะ)'!O12,"AAAAAD9f9b8=")</f>
        <v>#VALUE!</v>
      </c>
      <c r="GK1">
        <f>IF('1.work system(หน่วยงานในคณะ)'!13:13,"AAAAAD9f9cA=",0)</f>
        <v>0</v>
      </c>
      <c r="GL1" t="e">
        <f>AND('1.work system(หน่วยงานในคณะ)'!A13,"AAAAAD9f9cE=")</f>
        <v>#VALUE!</v>
      </c>
      <c r="GM1" t="e">
        <f>AND('1.work system(หน่วยงานในคณะ)'!B13,"AAAAAD9f9cI=")</f>
        <v>#VALUE!</v>
      </c>
      <c r="GN1" t="e">
        <f>AND('1.work system(หน่วยงานในคณะ)'!C13,"AAAAAD9f9cM=")</f>
        <v>#VALUE!</v>
      </c>
      <c r="GO1" t="e">
        <f>AND('1.work system(หน่วยงานในคณะ)'!D13,"AAAAAD9f9cQ=")</f>
        <v>#VALUE!</v>
      </c>
      <c r="GP1" t="e">
        <f>AND('1.work system(หน่วยงานในคณะ)'!E13,"AAAAAD9f9cU=")</f>
        <v>#VALUE!</v>
      </c>
      <c r="GQ1" t="e">
        <f>AND('1.work system(หน่วยงานในคณะ)'!F13,"AAAAAD9f9cY=")</f>
        <v>#VALUE!</v>
      </c>
      <c r="GR1" t="e">
        <f>AND('1.work system(หน่วยงานในคณะ)'!G13,"AAAAAD9f9cc=")</f>
        <v>#VALUE!</v>
      </c>
      <c r="GS1" t="e">
        <f>AND('1.work system(หน่วยงานในคณะ)'!H13,"AAAAAD9f9cg=")</f>
        <v>#VALUE!</v>
      </c>
      <c r="GT1" t="e">
        <f>AND('1.work system(หน่วยงานในคณะ)'!I13,"AAAAAD9f9ck=")</f>
        <v>#VALUE!</v>
      </c>
      <c r="GU1" t="e">
        <f>AND('1.work system(หน่วยงานในคณะ)'!J13,"AAAAAD9f9co=")</f>
        <v>#VALUE!</v>
      </c>
      <c r="GV1" t="e">
        <f>AND('1.work system(หน่วยงานในคณะ)'!K13,"AAAAAD9f9cs=")</f>
        <v>#VALUE!</v>
      </c>
      <c r="GW1" t="e">
        <f>AND('1.work system(หน่วยงานในคณะ)'!L13,"AAAAAD9f9cw=")</f>
        <v>#VALUE!</v>
      </c>
      <c r="GX1" t="e">
        <f>AND('1.work system(หน่วยงานในคณะ)'!M13,"AAAAAD9f9c0=")</f>
        <v>#VALUE!</v>
      </c>
      <c r="GY1" t="e">
        <f>AND('1.work system(หน่วยงานในคณะ)'!N13,"AAAAAD9f9c4=")</f>
        <v>#VALUE!</v>
      </c>
      <c r="GZ1" t="e">
        <f>AND('1.work system(หน่วยงานในคณะ)'!O13,"AAAAAD9f9c8=")</f>
        <v>#VALUE!</v>
      </c>
      <c r="HA1">
        <f>IF('1.work system(หน่วยงานในคณะ)'!14:14,"AAAAAD9f9dA=",0)</f>
        <v>0</v>
      </c>
      <c r="HB1" t="e">
        <f>AND('1.work system(หน่วยงานในคณะ)'!A14,"AAAAAD9f9dE=")</f>
        <v>#VALUE!</v>
      </c>
      <c r="HC1" t="e">
        <f>AND('1.work system(หน่วยงานในคณะ)'!B14,"AAAAAD9f9dI=")</f>
        <v>#VALUE!</v>
      </c>
      <c r="HD1" t="e">
        <f>AND('1.work system(หน่วยงานในคณะ)'!C14,"AAAAAD9f9dM=")</f>
        <v>#VALUE!</v>
      </c>
      <c r="HE1" t="e">
        <f>AND('1.work system(หน่วยงานในคณะ)'!D14,"AAAAAD9f9dQ=")</f>
        <v>#VALUE!</v>
      </c>
      <c r="HF1" t="e">
        <f>AND('1.work system(หน่วยงานในคณะ)'!E14,"AAAAAD9f9dU=")</f>
        <v>#VALUE!</v>
      </c>
      <c r="HG1" t="e">
        <f>AND('1.work system(หน่วยงานในคณะ)'!F14,"AAAAAD9f9dY=")</f>
        <v>#VALUE!</v>
      </c>
      <c r="HH1" t="e">
        <f>AND('1.work system(หน่วยงานในคณะ)'!G14,"AAAAAD9f9dc=")</f>
        <v>#VALUE!</v>
      </c>
      <c r="HI1" t="e">
        <f>AND('1.work system(หน่วยงานในคณะ)'!H14,"AAAAAD9f9dg=")</f>
        <v>#VALUE!</v>
      </c>
      <c r="HJ1" t="e">
        <f>AND('1.work system(หน่วยงานในคณะ)'!I14,"AAAAAD9f9dk=")</f>
        <v>#VALUE!</v>
      </c>
      <c r="HK1" t="e">
        <f>AND('1.work system(หน่วยงานในคณะ)'!J14,"AAAAAD9f9do=")</f>
        <v>#VALUE!</v>
      </c>
      <c r="HL1" t="e">
        <f>AND('1.work system(หน่วยงานในคณะ)'!K14,"AAAAAD9f9ds=")</f>
        <v>#VALUE!</v>
      </c>
      <c r="HM1" t="e">
        <f>AND('1.work system(หน่วยงานในคณะ)'!L14,"AAAAAD9f9dw=")</f>
        <v>#VALUE!</v>
      </c>
      <c r="HN1" t="e">
        <f>AND('1.work system(หน่วยงานในคณะ)'!M14,"AAAAAD9f9d0=")</f>
        <v>#VALUE!</v>
      </c>
      <c r="HO1" t="e">
        <f>AND('1.work system(หน่วยงานในคณะ)'!N14,"AAAAAD9f9d4=")</f>
        <v>#VALUE!</v>
      </c>
      <c r="HP1" t="e">
        <f>AND('1.work system(หน่วยงานในคณะ)'!O14,"AAAAAD9f9d8=")</f>
        <v>#VALUE!</v>
      </c>
      <c r="HQ1">
        <f>IF('1.work system(หน่วยงานในคณะ)'!15:15,"AAAAAD9f9eA=",0)</f>
        <v>0</v>
      </c>
      <c r="HR1" t="e">
        <f>AND('1.work system(หน่วยงานในคณะ)'!A15,"AAAAAD9f9eE=")</f>
        <v>#VALUE!</v>
      </c>
      <c r="HS1" t="e">
        <f>AND('1.work system(หน่วยงานในคณะ)'!B15,"AAAAAD9f9eI=")</f>
        <v>#VALUE!</v>
      </c>
      <c r="HT1" t="e">
        <f>AND('1.work system(หน่วยงานในคณะ)'!C15,"AAAAAD9f9eM=")</f>
        <v>#VALUE!</v>
      </c>
      <c r="HU1" t="e">
        <f>AND('1.work system(หน่วยงานในคณะ)'!D15,"AAAAAD9f9eQ=")</f>
        <v>#VALUE!</v>
      </c>
      <c r="HV1" t="e">
        <f>AND('1.work system(หน่วยงานในคณะ)'!E15,"AAAAAD9f9eU=")</f>
        <v>#VALUE!</v>
      </c>
      <c r="HW1" t="e">
        <f>AND('1.work system(หน่วยงานในคณะ)'!F15,"AAAAAD9f9eY=")</f>
        <v>#VALUE!</v>
      </c>
      <c r="HX1" t="e">
        <f>AND('1.work system(หน่วยงานในคณะ)'!G15,"AAAAAD9f9ec=")</f>
        <v>#VALUE!</v>
      </c>
      <c r="HY1" t="e">
        <f>AND('1.work system(หน่วยงานในคณะ)'!H15,"AAAAAD9f9eg=")</f>
        <v>#VALUE!</v>
      </c>
      <c r="HZ1" t="e">
        <f>AND('1.work system(หน่วยงานในคณะ)'!I15,"AAAAAD9f9ek=")</f>
        <v>#VALUE!</v>
      </c>
      <c r="IA1" t="e">
        <f>AND('1.work system(หน่วยงานในคณะ)'!J15,"AAAAAD9f9eo=")</f>
        <v>#VALUE!</v>
      </c>
      <c r="IB1" t="e">
        <f>AND('1.work system(หน่วยงานในคณะ)'!K15,"AAAAAD9f9es=")</f>
        <v>#VALUE!</v>
      </c>
      <c r="IC1" t="e">
        <f>AND('1.work system(หน่วยงานในคณะ)'!L15,"AAAAAD9f9ew=")</f>
        <v>#VALUE!</v>
      </c>
      <c r="ID1" t="e">
        <f>AND('1.work system(หน่วยงานในคณะ)'!M15,"AAAAAD9f9e0=")</f>
        <v>#VALUE!</v>
      </c>
      <c r="IE1" t="e">
        <f>AND('1.work system(หน่วยงานในคณะ)'!N15,"AAAAAD9f9e4=")</f>
        <v>#VALUE!</v>
      </c>
      <c r="IF1" t="e">
        <f>AND('1.work system(หน่วยงานในคณะ)'!O15,"AAAAAD9f9e8=")</f>
        <v>#VALUE!</v>
      </c>
      <c r="IG1">
        <f>IF('1.work system(หน่วยงานในคณะ)'!16:16,"AAAAAD9f9fA=",0)</f>
        <v>0</v>
      </c>
      <c r="IH1" t="e">
        <f>AND('1.work system(หน่วยงานในคณะ)'!A16,"AAAAAD9f9fE=")</f>
        <v>#VALUE!</v>
      </c>
      <c r="II1" t="e">
        <f>AND('1.work system(หน่วยงานในคณะ)'!B16,"AAAAAD9f9fI=")</f>
        <v>#VALUE!</v>
      </c>
      <c r="IJ1" t="e">
        <f>AND('1.work system(หน่วยงานในคณะ)'!C16,"AAAAAD9f9fM=")</f>
        <v>#VALUE!</v>
      </c>
      <c r="IK1" t="e">
        <f>AND('1.work system(หน่วยงานในคณะ)'!D16,"AAAAAD9f9fQ=")</f>
        <v>#VALUE!</v>
      </c>
      <c r="IL1" t="e">
        <f>AND('1.work system(หน่วยงานในคณะ)'!E16,"AAAAAD9f9fU=")</f>
        <v>#VALUE!</v>
      </c>
      <c r="IM1" t="e">
        <f>AND('1.work system(หน่วยงานในคณะ)'!F16,"AAAAAD9f9fY=")</f>
        <v>#VALUE!</v>
      </c>
      <c r="IN1" t="e">
        <f>AND('1.work system(หน่วยงานในคณะ)'!G16,"AAAAAD9f9fc=")</f>
        <v>#VALUE!</v>
      </c>
      <c r="IO1" t="e">
        <f>AND('1.work system(หน่วยงานในคณะ)'!H16,"AAAAAD9f9fg=")</f>
        <v>#VALUE!</v>
      </c>
      <c r="IP1" t="e">
        <f>AND('1.work system(หน่วยงานในคณะ)'!I16,"AAAAAD9f9fk=")</f>
        <v>#VALUE!</v>
      </c>
      <c r="IQ1" t="e">
        <f>AND('1.work system(หน่วยงานในคณะ)'!J16,"AAAAAD9f9fo=")</f>
        <v>#VALUE!</v>
      </c>
      <c r="IR1" t="e">
        <f>AND('1.work system(หน่วยงานในคณะ)'!K16,"AAAAAD9f9fs=")</f>
        <v>#VALUE!</v>
      </c>
      <c r="IS1" t="e">
        <f>AND('1.work system(หน่วยงานในคณะ)'!L16,"AAAAAD9f9fw=")</f>
        <v>#VALUE!</v>
      </c>
      <c r="IT1" t="e">
        <f>AND('1.work system(หน่วยงานในคณะ)'!M16,"AAAAAD9f9f0=")</f>
        <v>#VALUE!</v>
      </c>
      <c r="IU1" t="e">
        <f>AND('1.work system(หน่วยงานในคณะ)'!N16,"AAAAAD9f9f4=")</f>
        <v>#VALUE!</v>
      </c>
      <c r="IV1" t="e">
        <f>AND('1.work system(หน่วยงานในคณะ)'!O16,"AAAAAD9f9f8=")</f>
        <v>#VALUE!</v>
      </c>
    </row>
    <row r="2" spans="1:256" ht="14.25">
      <c r="A2">
        <f>IF('1.work system(หน่วยงานในคณะ)'!17:17,"AAAAAFnb3wA=",0)</f>
        <v>0</v>
      </c>
      <c r="B2" t="e">
        <f>AND('1.work system(หน่วยงานในคณะ)'!A17,"AAAAAFnb3wE=")</f>
        <v>#VALUE!</v>
      </c>
      <c r="C2" t="e">
        <f>AND('1.work system(หน่วยงานในคณะ)'!B17,"AAAAAFnb3wI=")</f>
        <v>#VALUE!</v>
      </c>
      <c r="D2" t="e">
        <f>AND('1.work system(หน่วยงานในคณะ)'!C17,"AAAAAFnb3wM=")</f>
        <v>#VALUE!</v>
      </c>
      <c r="E2" t="e">
        <f>AND('1.work system(หน่วยงานในคณะ)'!D17,"AAAAAFnb3wQ=")</f>
        <v>#VALUE!</v>
      </c>
      <c r="F2" t="e">
        <f>AND('1.work system(หน่วยงานในคณะ)'!E17,"AAAAAFnb3wU=")</f>
        <v>#VALUE!</v>
      </c>
      <c r="G2" t="e">
        <f>AND('1.work system(หน่วยงานในคณะ)'!F17,"AAAAAFnb3wY=")</f>
        <v>#VALUE!</v>
      </c>
      <c r="H2" t="e">
        <f>AND('1.work system(หน่วยงานในคณะ)'!G17,"AAAAAFnb3wc=")</f>
        <v>#VALUE!</v>
      </c>
      <c r="I2" t="e">
        <f>AND('1.work system(หน่วยงานในคณะ)'!H17,"AAAAAFnb3wg=")</f>
        <v>#VALUE!</v>
      </c>
      <c r="J2" t="e">
        <f>AND('1.work system(หน่วยงานในคณะ)'!I17,"AAAAAFnb3wk=")</f>
        <v>#VALUE!</v>
      </c>
      <c r="K2" t="e">
        <f>AND('1.work system(หน่วยงานในคณะ)'!J17,"AAAAAFnb3wo=")</f>
        <v>#VALUE!</v>
      </c>
      <c r="L2" t="e">
        <f>AND('1.work system(หน่วยงานในคณะ)'!K17,"AAAAAFnb3ws=")</f>
        <v>#VALUE!</v>
      </c>
      <c r="M2" t="e">
        <f>AND('1.work system(หน่วยงานในคณะ)'!L17,"AAAAAFnb3ww=")</f>
        <v>#VALUE!</v>
      </c>
      <c r="N2" t="e">
        <f>AND('1.work system(หน่วยงานในคณะ)'!M17,"AAAAAFnb3w0=")</f>
        <v>#VALUE!</v>
      </c>
      <c r="O2" t="e">
        <f>AND('1.work system(หน่วยงานในคณะ)'!N17,"AAAAAFnb3w4=")</f>
        <v>#VALUE!</v>
      </c>
      <c r="P2" t="e">
        <f>AND('1.work system(หน่วยงานในคณะ)'!O17,"AAAAAFnb3w8=")</f>
        <v>#VALUE!</v>
      </c>
      <c r="Q2">
        <f>IF('1.work system(หน่วยงานในคณะ)'!18:18,"AAAAAFnb3xA=",0)</f>
        <v>0</v>
      </c>
      <c r="R2" t="e">
        <f>AND('1.work system(หน่วยงานในคณะ)'!A18,"AAAAAFnb3xE=")</f>
        <v>#VALUE!</v>
      </c>
      <c r="S2" t="e">
        <f>AND('1.work system(หน่วยงานในคณะ)'!B18,"AAAAAFnb3xI=")</f>
        <v>#VALUE!</v>
      </c>
      <c r="T2" t="e">
        <f>AND('1.work system(หน่วยงานในคณะ)'!C18,"AAAAAFnb3xM=")</f>
        <v>#VALUE!</v>
      </c>
      <c r="U2" t="e">
        <f>AND('1.work system(หน่วยงานในคณะ)'!D18,"AAAAAFnb3xQ=")</f>
        <v>#VALUE!</v>
      </c>
      <c r="V2" t="e">
        <f>AND('1.work system(หน่วยงานในคณะ)'!E18,"AAAAAFnb3xU=")</f>
        <v>#VALUE!</v>
      </c>
      <c r="W2" t="e">
        <f>AND('1.work system(หน่วยงานในคณะ)'!F18,"AAAAAFnb3xY=")</f>
        <v>#VALUE!</v>
      </c>
      <c r="X2" t="e">
        <f>AND('1.work system(หน่วยงานในคณะ)'!G18,"AAAAAFnb3xc=")</f>
        <v>#VALUE!</v>
      </c>
      <c r="Y2" t="e">
        <f>AND('1.work system(หน่วยงานในคณะ)'!H18,"AAAAAFnb3xg=")</f>
        <v>#VALUE!</v>
      </c>
      <c r="Z2" t="e">
        <f>AND('1.work system(หน่วยงานในคณะ)'!I18,"AAAAAFnb3xk=")</f>
        <v>#VALUE!</v>
      </c>
      <c r="AA2" t="e">
        <f>AND('1.work system(หน่วยงานในคณะ)'!J18,"AAAAAFnb3xo=")</f>
        <v>#VALUE!</v>
      </c>
      <c r="AB2" t="e">
        <f>AND('1.work system(หน่วยงานในคณะ)'!K18,"AAAAAFnb3xs=")</f>
        <v>#VALUE!</v>
      </c>
      <c r="AC2" t="e">
        <f>AND('1.work system(หน่วยงานในคณะ)'!L18,"AAAAAFnb3xw=")</f>
        <v>#VALUE!</v>
      </c>
      <c r="AD2" t="e">
        <f>AND('1.work system(หน่วยงานในคณะ)'!M18,"AAAAAFnb3x0=")</f>
        <v>#VALUE!</v>
      </c>
      <c r="AE2" t="e">
        <f>AND('1.work system(หน่วยงานในคณะ)'!N18,"AAAAAFnb3x4=")</f>
        <v>#VALUE!</v>
      </c>
      <c r="AF2" t="e">
        <f>AND('1.work system(หน่วยงานในคณะ)'!O18,"AAAAAFnb3x8=")</f>
        <v>#VALUE!</v>
      </c>
      <c r="AG2">
        <f>IF('1.work system(หน่วยงานในคณะ)'!19:19,"AAAAAFnb3yA=",0)</f>
        <v>0</v>
      </c>
      <c r="AH2" t="e">
        <f>AND('1.work system(หน่วยงานในคณะ)'!A19,"AAAAAFnb3yE=")</f>
        <v>#VALUE!</v>
      </c>
      <c r="AI2" t="e">
        <f>AND('1.work system(หน่วยงานในคณะ)'!B19,"AAAAAFnb3yI=")</f>
        <v>#VALUE!</v>
      </c>
      <c r="AJ2" t="e">
        <f>AND('1.work system(หน่วยงานในคณะ)'!C19,"AAAAAFnb3yM=")</f>
        <v>#VALUE!</v>
      </c>
      <c r="AK2" t="e">
        <f>AND('1.work system(หน่วยงานในคณะ)'!D19,"AAAAAFnb3yQ=")</f>
        <v>#VALUE!</v>
      </c>
      <c r="AL2" t="e">
        <f>AND('1.work system(หน่วยงานในคณะ)'!E19,"AAAAAFnb3yU=")</f>
        <v>#VALUE!</v>
      </c>
      <c r="AM2" t="e">
        <f>AND('1.work system(หน่วยงานในคณะ)'!F19,"AAAAAFnb3yY=")</f>
        <v>#VALUE!</v>
      </c>
      <c r="AN2" t="e">
        <f>AND('1.work system(หน่วยงานในคณะ)'!G19,"AAAAAFnb3yc=")</f>
        <v>#VALUE!</v>
      </c>
      <c r="AO2" t="e">
        <f>AND('1.work system(หน่วยงานในคณะ)'!H19,"AAAAAFnb3yg=")</f>
        <v>#VALUE!</v>
      </c>
      <c r="AP2" t="e">
        <f>AND('1.work system(หน่วยงานในคณะ)'!I19,"AAAAAFnb3yk=")</f>
        <v>#VALUE!</v>
      </c>
      <c r="AQ2" t="e">
        <f>AND('1.work system(หน่วยงานในคณะ)'!J19,"AAAAAFnb3yo=")</f>
        <v>#VALUE!</v>
      </c>
      <c r="AR2" t="e">
        <f>AND('1.work system(หน่วยงานในคณะ)'!K19,"AAAAAFnb3ys=")</f>
        <v>#VALUE!</v>
      </c>
      <c r="AS2" t="e">
        <f>AND('1.work system(หน่วยงานในคณะ)'!L19,"AAAAAFnb3yw=")</f>
        <v>#VALUE!</v>
      </c>
      <c r="AT2" t="e">
        <f>AND('1.work system(หน่วยงานในคณะ)'!M19,"AAAAAFnb3y0=")</f>
        <v>#VALUE!</v>
      </c>
      <c r="AU2" t="e">
        <f>AND('1.work system(หน่วยงานในคณะ)'!N19,"AAAAAFnb3y4=")</f>
        <v>#VALUE!</v>
      </c>
      <c r="AV2" t="e">
        <f>AND('1.work system(หน่วยงานในคณะ)'!O19,"AAAAAFnb3y8=")</f>
        <v>#VALUE!</v>
      </c>
      <c r="AW2">
        <f>IF('1.work system(หน่วยงานในคณะ)'!20:20,"AAAAAFnb3zA=",0)</f>
        <v>0</v>
      </c>
      <c r="AX2" t="e">
        <f>AND('1.work system(หน่วยงานในคณะ)'!A20,"AAAAAFnb3zE=")</f>
        <v>#VALUE!</v>
      </c>
      <c r="AY2" t="e">
        <f>AND('1.work system(หน่วยงานในคณะ)'!B20,"AAAAAFnb3zI=")</f>
        <v>#VALUE!</v>
      </c>
      <c r="AZ2" t="e">
        <f>AND('1.work system(หน่วยงานในคณะ)'!C20,"AAAAAFnb3zM=")</f>
        <v>#VALUE!</v>
      </c>
      <c r="BA2" t="e">
        <f>AND('1.work system(หน่วยงานในคณะ)'!D20,"AAAAAFnb3zQ=")</f>
        <v>#VALUE!</v>
      </c>
      <c r="BB2" t="e">
        <f>AND('1.work system(หน่วยงานในคณะ)'!E20,"AAAAAFnb3zU=")</f>
        <v>#VALUE!</v>
      </c>
      <c r="BC2" t="e">
        <f>AND('1.work system(หน่วยงานในคณะ)'!F20,"AAAAAFnb3zY=")</f>
        <v>#VALUE!</v>
      </c>
      <c r="BD2" t="e">
        <f>AND('1.work system(หน่วยงานในคณะ)'!G20,"AAAAAFnb3zc=")</f>
        <v>#VALUE!</v>
      </c>
      <c r="BE2" t="e">
        <f>AND('1.work system(หน่วยงานในคณะ)'!H20,"AAAAAFnb3zg=")</f>
        <v>#VALUE!</v>
      </c>
      <c r="BF2" t="e">
        <f>AND('1.work system(หน่วยงานในคณะ)'!I20,"AAAAAFnb3zk=")</f>
        <v>#VALUE!</v>
      </c>
      <c r="BG2" t="e">
        <f>AND('1.work system(หน่วยงานในคณะ)'!J20,"AAAAAFnb3zo=")</f>
        <v>#VALUE!</v>
      </c>
      <c r="BH2" t="e">
        <f>AND('1.work system(หน่วยงานในคณะ)'!K20,"AAAAAFnb3zs=")</f>
        <v>#VALUE!</v>
      </c>
      <c r="BI2" t="e">
        <f>AND('1.work system(หน่วยงานในคณะ)'!L20,"AAAAAFnb3zw=")</f>
        <v>#VALUE!</v>
      </c>
      <c r="BJ2" t="e">
        <f>AND('1.work system(หน่วยงานในคณะ)'!M20,"AAAAAFnb3z0=")</f>
        <v>#VALUE!</v>
      </c>
      <c r="BK2" t="e">
        <f>AND('1.work system(หน่วยงานในคณะ)'!N20,"AAAAAFnb3z4=")</f>
        <v>#VALUE!</v>
      </c>
      <c r="BL2" t="e">
        <f>AND('1.work system(หน่วยงานในคณะ)'!O20,"AAAAAFnb3z8=")</f>
        <v>#VALUE!</v>
      </c>
      <c r="BM2">
        <f>IF('1.work system(หน่วยงานในคณะ)'!21:21,"AAAAAFnb30A=",0)</f>
        <v>0</v>
      </c>
      <c r="BN2" t="e">
        <f>AND('1.work system(หน่วยงานในคณะ)'!A21,"AAAAAFnb30E=")</f>
        <v>#VALUE!</v>
      </c>
      <c r="BO2" t="e">
        <f>AND('1.work system(หน่วยงานในคณะ)'!B21,"AAAAAFnb30I=")</f>
        <v>#VALUE!</v>
      </c>
      <c r="BP2" t="e">
        <f>AND('1.work system(หน่วยงานในคณะ)'!C21,"AAAAAFnb30M=")</f>
        <v>#VALUE!</v>
      </c>
      <c r="BQ2" t="e">
        <f>AND('1.work system(หน่วยงานในคณะ)'!D21,"AAAAAFnb30Q=")</f>
        <v>#VALUE!</v>
      </c>
      <c r="BR2" t="e">
        <f>AND('1.work system(หน่วยงานในคณะ)'!E21,"AAAAAFnb30U=")</f>
        <v>#VALUE!</v>
      </c>
      <c r="BS2" t="e">
        <f>AND('1.work system(หน่วยงานในคณะ)'!F21,"AAAAAFnb30Y=")</f>
        <v>#VALUE!</v>
      </c>
      <c r="BT2" t="e">
        <f>AND('1.work system(หน่วยงานในคณะ)'!G21,"AAAAAFnb30c=")</f>
        <v>#VALUE!</v>
      </c>
      <c r="BU2" t="e">
        <f>AND('1.work system(หน่วยงานในคณะ)'!H21,"AAAAAFnb30g=")</f>
        <v>#VALUE!</v>
      </c>
      <c r="BV2" t="e">
        <f>AND('1.work system(หน่วยงานในคณะ)'!I21,"AAAAAFnb30k=")</f>
        <v>#VALUE!</v>
      </c>
      <c r="BW2" t="e">
        <f>AND('1.work system(หน่วยงานในคณะ)'!J21,"AAAAAFnb30o=")</f>
        <v>#VALUE!</v>
      </c>
      <c r="BX2" t="e">
        <f>AND('1.work system(หน่วยงานในคณะ)'!K21,"AAAAAFnb30s=")</f>
        <v>#VALUE!</v>
      </c>
      <c r="BY2" t="e">
        <f>AND('1.work system(หน่วยงานในคณะ)'!L21,"AAAAAFnb30w=")</f>
        <v>#VALUE!</v>
      </c>
      <c r="BZ2" t="e">
        <f>AND('1.work system(หน่วยงานในคณะ)'!M21,"AAAAAFnb300=")</f>
        <v>#VALUE!</v>
      </c>
      <c r="CA2" t="e">
        <f>AND('1.work system(หน่วยงานในคณะ)'!N21,"AAAAAFnb304=")</f>
        <v>#VALUE!</v>
      </c>
      <c r="CB2" t="e">
        <f>AND('1.work system(หน่วยงานในคณะ)'!O21,"AAAAAFnb308=")</f>
        <v>#VALUE!</v>
      </c>
      <c r="CC2">
        <f>IF('1.work system(หน่วยงานในคณะ)'!22:22,"AAAAAFnb31A=",0)</f>
        <v>0</v>
      </c>
      <c r="CD2" t="e">
        <f>AND('1.work system(หน่วยงานในคณะ)'!A22,"AAAAAFnb31E=")</f>
        <v>#VALUE!</v>
      </c>
      <c r="CE2" t="e">
        <f>AND('1.work system(หน่วยงานในคณะ)'!B22,"AAAAAFnb31I=")</f>
        <v>#VALUE!</v>
      </c>
      <c r="CF2" t="e">
        <f>AND('1.work system(หน่วยงานในคณะ)'!C22,"AAAAAFnb31M=")</f>
        <v>#VALUE!</v>
      </c>
      <c r="CG2" t="e">
        <f>AND('1.work system(หน่วยงานในคณะ)'!D22,"AAAAAFnb31Q=")</f>
        <v>#VALUE!</v>
      </c>
      <c r="CH2" t="e">
        <f>AND('1.work system(หน่วยงานในคณะ)'!E22,"AAAAAFnb31U=")</f>
        <v>#VALUE!</v>
      </c>
      <c r="CI2" t="e">
        <f>AND('1.work system(หน่วยงานในคณะ)'!F22,"AAAAAFnb31Y=")</f>
        <v>#VALUE!</v>
      </c>
      <c r="CJ2" t="e">
        <f>AND('1.work system(หน่วยงานในคณะ)'!G22,"AAAAAFnb31c=")</f>
        <v>#VALUE!</v>
      </c>
      <c r="CK2" t="e">
        <f>AND('1.work system(หน่วยงานในคณะ)'!H22,"AAAAAFnb31g=")</f>
        <v>#VALUE!</v>
      </c>
      <c r="CL2" t="e">
        <f>AND('1.work system(หน่วยงานในคณะ)'!I22,"AAAAAFnb31k=")</f>
        <v>#VALUE!</v>
      </c>
      <c r="CM2" t="e">
        <f>AND('1.work system(หน่วยงานในคณะ)'!J22,"AAAAAFnb31o=")</f>
        <v>#VALUE!</v>
      </c>
      <c r="CN2" t="e">
        <f>AND('1.work system(หน่วยงานในคณะ)'!K22,"AAAAAFnb31s=")</f>
        <v>#VALUE!</v>
      </c>
      <c r="CO2" t="e">
        <f>AND('1.work system(หน่วยงานในคณะ)'!L22,"AAAAAFnb31w=")</f>
        <v>#VALUE!</v>
      </c>
      <c r="CP2" t="e">
        <f>AND('1.work system(หน่วยงานในคณะ)'!M22,"AAAAAFnb310=")</f>
        <v>#VALUE!</v>
      </c>
      <c r="CQ2" t="e">
        <f>AND('1.work system(หน่วยงานในคณะ)'!N22,"AAAAAFnb314=")</f>
        <v>#VALUE!</v>
      </c>
      <c r="CR2" t="e">
        <f>AND('1.work system(หน่วยงานในคณะ)'!O22,"AAAAAFnb318=")</f>
        <v>#VALUE!</v>
      </c>
      <c r="CS2">
        <f>IF('1.work system(หน่วยงานในคณะ)'!23:23,"AAAAAFnb32A=",0)</f>
        <v>0</v>
      </c>
      <c r="CT2" t="e">
        <f>AND('1.work system(หน่วยงานในคณะ)'!A23,"AAAAAFnb32E=")</f>
        <v>#VALUE!</v>
      </c>
      <c r="CU2" t="e">
        <f>AND('1.work system(หน่วยงานในคณะ)'!B23,"AAAAAFnb32I=")</f>
        <v>#VALUE!</v>
      </c>
      <c r="CV2" t="e">
        <f>AND('1.work system(หน่วยงานในคณะ)'!C23,"AAAAAFnb32M=")</f>
        <v>#VALUE!</v>
      </c>
      <c r="CW2" t="e">
        <f>AND('1.work system(หน่วยงานในคณะ)'!D23,"AAAAAFnb32Q=")</f>
        <v>#VALUE!</v>
      </c>
      <c r="CX2" t="e">
        <f>AND('1.work system(หน่วยงานในคณะ)'!E23,"AAAAAFnb32U=")</f>
        <v>#VALUE!</v>
      </c>
      <c r="CY2" t="e">
        <f>AND('1.work system(หน่วยงานในคณะ)'!F23,"AAAAAFnb32Y=")</f>
        <v>#VALUE!</v>
      </c>
      <c r="CZ2" t="e">
        <f>AND('1.work system(หน่วยงานในคณะ)'!G23,"AAAAAFnb32c=")</f>
        <v>#VALUE!</v>
      </c>
      <c r="DA2" t="e">
        <f>AND('1.work system(หน่วยงานในคณะ)'!H23,"AAAAAFnb32g=")</f>
        <v>#VALUE!</v>
      </c>
      <c r="DB2" t="e">
        <f>AND('1.work system(หน่วยงานในคณะ)'!I23,"AAAAAFnb32k=")</f>
        <v>#VALUE!</v>
      </c>
      <c r="DC2" t="e">
        <f>AND('1.work system(หน่วยงานในคณะ)'!J23,"AAAAAFnb32o=")</f>
        <v>#VALUE!</v>
      </c>
      <c r="DD2" t="e">
        <f>AND('1.work system(หน่วยงานในคณะ)'!K23,"AAAAAFnb32s=")</f>
        <v>#VALUE!</v>
      </c>
      <c r="DE2" t="e">
        <f>AND('1.work system(หน่วยงานในคณะ)'!L23,"AAAAAFnb32w=")</f>
        <v>#VALUE!</v>
      </c>
      <c r="DF2" t="e">
        <f>AND('1.work system(หน่วยงานในคณะ)'!M23,"AAAAAFnb320=")</f>
        <v>#VALUE!</v>
      </c>
      <c r="DG2" t="e">
        <f>AND('1.work system(หน่วยงานในคณะ)'!N23,"AAAAAFnb324=")</f>
        <v>#VALUE!</v>
      </c>
      <c r="DH2" t="e">
        <f>AND('1.work system(หน่วยงานในคณะ)'!O23,"AAAAAFnb328=")</f>
        <v>#VALUE!</v>
      </c>
      <c r="DI2">
        <f>IF('1.work system(หน่วยงานในคณะ)'!24:24,"AAAAAFnb33A=",0)</f>
        <v>0</v>
      </c>
      <c r="DJ2" t="e">
        <f>AND('1.work system(หน่วยงานในคณะ)'!A24,"AAAAAFnb33E=")</f>
        <v>#VALUE!</v>
      </c>
      <c r="DK2" t="e">
        <f>AND('1.work system(หน่วยงานในคณะ)'!B24,"AAAAAFnb33I=")</f>
        <v>#VALUE!</v>
      </c>
      <c r="DL2" t="e">
        <f>AND('1.work system(หน่วยงานในคณะ)'!C24,"AAAAAFnb33M=")</f>
        <v>#VALUE!</v>
      </c>
      <c r="DM2" t="e">
        <f>AND('1.work system(หน่วยงานในคณะ)'!D24,"AAAAAFnb33Q=")</f>
        <v>#VALUE!</v>
      </c>
      <c r="DN2" t="e">
        <f>AND('1.work system(หน่วยงานในคณะ)'!E24,"AAAAAFnb33U=")</f>
        <v>#VALUE!</v>
      </c>
      <c r="DO2" t="e">
        <f>AND('1.work system(หน่วยงานในคณะ)'!F24,"AAAAAFnb33Y=")</f>
        <v>#VALUE!</v>
      </c>
      <c r="DP2" t="e">
        <f>AND('1.work system(หน่วยงานในคณะ)'!G24,"AAAAAFnb33c=")</f>
        <v>#VALUE!</v>
      </c>
      <c r="DQ2" t="e">
        <f>AND('1.work system(หน่วยงานในคณะ)'!H24,"AAAAAFnb33g=")</f>
        <v>#VALUE!</v>
      </c>
      <c r="DR2" t="e">
        <f>AND('1.work system(หน่วยงานในคณะ)'!I24,"AAAAAFnb33k=")</f>
        <v>#VALUE!</v>
      </c>
      <c r="DS2" t="e">
        <f>AND('1.work system(หน่วยงานในคณะ)'!J24,"AAAAAFnb33o=")</f>
        <v>#VALUE!</v>
      </c>
      <c r="DT2" t="e">
        <f>AND('1.work system(หน่วยงานในคณะ)'!K24,"AAAAAFnb33s=")</f>
        <v>#VALUE!</v>
      </c>
      <c r="DU2" t="e">
        <f>AND('1.work system(หน่วยงานในคณะ)'!L24,"AAAAAFnb33w=")</f>
        <v>#VALUE!</v>
      </c>
      <c r="DV2" t="e">
        <f>AND('1.work system(หน่วยงานในคณะ)'!M24,"AAAAAFnb330=")</f>
        <v>#VALUE!</v>
      </c>
      <c r="DW2" t="e">
        <f>AND('1.work system(หน่วยงานในคณะ)'!N24,"AAAAAFnb334=")</f>
        <v>#VALUE!</v>
      </c>
      <c r="DX2" t="e">
        <f>AND('1.work system(หน่วยงานในคณะ)'!O24,"AAAAAFnb338=")</f>
        <v>#VALUE!</v>
      </c>
      <c r="DY2">
        <f>IF('1.work system(หน่วยงานในคณะ)'!25:25,"AAAAAFnb34A=",0)</f>
        <v>0</v>
      </c>
      <c r="DZ2" t="e">
        <f>AND('1.work system(หน่วยงานในคณะ)'!A25,"AAAAAFnb34E=")</f>
        <v>#VALUE!</v>
      </c>
      <c r="EA2" t="e">
        <f>AND('1.work system(หน่วยงานในคณะ)'!B25,"AAAAAFnb34I=")</f>
        <v>#VALUE!</v>
      </c>
      <c r="EB2" t="e">
        <f>AND('1.work system(หน่วยงานในคณะ)'!C25,"AAAAAFnb34M=")</f>
        <v>#VALUE!</v>
      </c>
      <c r="EC2" t="e">
        <f>AND('1.work system(หน่วยงานในคณะ)'!D25,"AAAAAFnb34Q=")</f>
        <v>#VALUE!</v>
      </c>
      <c r="ED2" t="e">
        <f>AND('1.work system(หน่วยงานในคณะ)'!E25,"AAAAAFnb34U=")</f>
        <v>#VALUE!</v>
      </c>
      <c r="EE2" t="e">
        <f>AND('1.work system(หน่วยงานในคณะ)'!F25,"AAAAAFnb34Y=")</f>
        <v>#VALUE!</v>
      </c>
      <c r="EF2" t="e">
        <f>AND('1.work system(หน่วยงานในคณะ)'!G25,"AAAAAFnb34c=")</f>
        <v>#VALUE!</v>
      </c>
      <c r="EG2" t="e">
        <f>AND('1.work system(หน่วยงานในคณะ)'!H25,"AAAAAFnb34g=")</f>
        <v>#VALUE!</v>
      </c>
      <c r="EH2" t="e">
        <f>AND('1.work system(หน่วยงานในคณะ)'!I25,"AAAAAFnb34k=")</f>
        <v>#VALUE!</v>
      </c>
      <c r="EI2" t="e">
        <f>AND('1.work system(หน่วยงานในคณะ)'!J25,"AAAAAFnb34o=")</f>
        <v>#VALUE!</v>
      </c>
      <c r="EJ2" t="e">
        <f>AND('1.work system(หน่วยงานในคณะ)'!K25,"AAAAAFnb34s=")</f>
        <v>#VALUE!</v>
      </c>
      <c r="EK2" t="e">
        <f>AND('1.work system(หน่วยงานในคณะ)'!L25,"AAAAAFnb34w=")</f>
        <v>#VALUE!</v>
      </c>
      <c r="EL2" t="e">
        <f>AND('1.work system(หน่วยงานในคณะ)'!M25,"AAAAAFnb340=")</f>
        <v>#VALUE!</v>
      </c>
      <c r="EM2" t="e">
        <f>AND('1.work system(หน่วยงานในคณะ)'!N25,"AAAAAFnb344=")</f>
        <v>#VALUE!</v>
      </c>
      <c r="EN2" t="e">
        <f>AND('1.work system(หน่วยงานในคณะ)'!O25,"AAAAAFnb348=")</f>
        <v>#VALUE!</v>
      </c>
      <c r="EO2">
        <f>IF('1.work system(หน่วยงานในคณะ)'!26:26,"AAAAAFnb35A=",0)</f>
        <v>0</v>
      </c>
      <c r="EP2" t="e">
        <f>AND('1.work system(หน่วยงานในคณะ)'!A26,"AAAAAFnb35E=")</f>
        <v>#VALUE!</v>
      </c>
      <c r="EQ2" t="e">
        <f>AND('1.work system(หน่วยงานในคณะ)'!B26,"AAAAAFnb35I=")</f>
        <v>#VALUE!</v>
      </c>
      <c r="ER2" t="e">
        <f>AND('1.work system(หน่วยงานในคณะ)'!C26,"AAAAAFnb35M=")</f>
        <v>#VALUE!</v>
      </c>
      <c r="ES2" t="e">
        <f>AND('1.work system(หน่วยงานในคณะ)'!D26,"AAAAAFnb35Q=")</f>
        <v>#VALUE!</v>
      </c>
      <c r="ET2" t="e">
        <f>AND('1.work system(หน่วยงานในคณะ)'!E26,"AAAAAFnb35U=")</f>
        <v>#VALUE!</v>
      </c>
      <c r="EU2" t="e">
        <f>AND('1.work system(หน่วยงานในคณะ)'!F26,"AAAAAFnb35Y=")</f>
        <v>#VALUE!</v>
      </c>
      <c r="EV2" t="e">
        <f>AND('1.work system(หน่วยงานในคณะ)'!G26,"AAAAAFnb35c=")</f>
        <v>#VALUE!</v>
      </c>
      <c r="EW2" t="e">
        <f>AND('1.work system(หน่วยงานในคณะ)'!H26,"AAAAAFnb35g=")</f>
        <v>#VALUE!</v>
      </c>
      <c r="EX2" t="e">
        <f>AND('1.work system(หน่วยงานในคณะ)'!I26,"AAAAAFnb35k=")</f>
        <v>#VALUE!</v>
      </c>
      <c r="EY2" t="e">
        <f>AND('1.work system(หน่วยงานในคณะ)'!J26,"AAAAAFnb35o=")</f>
        <v>#VALUE!</v>
      </c>
      <c r="EZ2" t="e">
        <f>AND('1.work system(หน่วยงานในคณะ)'!K26,"AAAAAFnb35s=")</f>
        <v>#VALUE!</v>
      </c>
      <c r="FA2" t="e">
        <f>AND('1.work system(หน่วยงานในคณะ)'!L26,"AAAAAFnb35w=")</f>
        <v>#VALUE!</v>
      </c>
      <c r="FB2" t="e">
        <f>AND('1.work system(หน่วยงานในคณะ)'!M26,"AAAAAFnb350=")</f>
        <v>#VALUE!</v>
      </c>
      <c r="FC2" t="e">
        <f>AND('1.work system(หน่วยงานในคณะ)'!N26,"AAAAAFnb354=")</f>
        <v>#VALUE!</v>
      </c>
      <c r="FD2" t="e">
        <f>AND('1.work system(หน่วยงานในคณะ)'!O26,"AAAAAFnb358=")</f>
        <v>#VALUE!</v>
      </c>
      <c r="FE2">
        <f>IF('1.work system(หน่วยงานในคณะ)'!27:27,"AAAAAFnb36A=",0)</f>
        <v>0</v>
      </c>
      <c r="FF2" t="e">
        <f>AND('1.work system(หน่วยงานในคณะ)'!A27,"AAAAAFnb36E=")</f>
        <v>#VALUE!</v>
      </c>
      <c r="FG2" t="e">
        <f>AND('1.work system(หน่วยงานในคณะ)'!B27,"AAAAAFnb36I=")</f>
        <v>#VALUE!</v>
      </c>
      <c r="FH2" t="e">
        <f>AND('1.work system(หน่วยงานในคณะ)'!C27,"AAAAAFnb36M=")</f>
        <v>#VALUE!</v>
      </c>
      <c r="FI2" t="e">
        <f>AND('1.work system(หน่วยงานในคณะ)'!D27,"AAAAAFnb36Q=")</f>
        <v>#VALUE!</v>
      </c>
      <c r="FJ2" t="e">
        <f>AND('1.work system(หน่วยงานในคณะ)'!E27,"AAAAAFnb36U=")</f>
        <v>#VALUE!</v>
      </c>
      <c r="FK2" t="e">
        <f>AND('1.work system(หน่วยงานในคณะ)'!F27,"AAAAAFnb36Y=")</f>
        <v>#VALUE!</v>
      </c>
      <c r="FL2" t="e">
        <f>AND('1.work system(หน่วยงานในคณะ)'!G27,"AAAAAFnb36c=")</f>
        <v>#VALUE!</v>
      </c>
      <c r="FM2" t="e">
        <f>AND('1.work system(หน่วยงานในคณะ)'!H27,"AAAAAFnb36g=")</f>
        <v>#VALUE!</v>
      </c>
      <c r="FN2" t="e">
        <f>AND('1.work system(หน่วยงานในคณะ)'!I27,"AAAAAFnb36k=")</f>
        <v>#VALUE!</v>
      </c>
      <c r="FO2" t="e">
        <f>AND('1.work system(หน่วยงานในคณะ)'!J27,"AAAAAFnb36o=")</f>
        <v>#VALUE!</v>
      </c>
      <c r="FP2" t="e">
        <f>AND('1.work system(หน่วยงานในคณะ)'!K27,"AAAAAFnb36s=")</f>
        <v>#VALUE!</v>
      </c>
      <c r="FQ2" t="e">
        <f>AND('1.work system(หน่วยงานในคณะ)'!L27,"AAAAAFnb36w=")</f>
        <v>#VALUE!</v>
      </c>
      <c r="FR2" t="e">
        <f>AND('1.work system(หน่วยงานในคณะ)'!M27,"AAAAAFnb360=")</f>
        <v>#VALUE!</v>
      </c>
      <c r="FS2" t="e">
        <f>AND('1.work system(หน่วยงานในคณะ)'!N27,"AAAAAFnb364=")</f>
        <v>#VALUE!</v>
      </c>
      <c r="FT2" t="e">
        <f>AND('1.work system(หน่วยงานในคณะ)'!O27,"AAAAAFnb368=")</f>
        <v>#VALUE!</v>
      </c>
      <c r="FU2">
        <f>IF('1.work system(หน่วยงานในคณะ)'!28:28,"AAAAAFnb37A=",0)</f>
        <v>0</v>
      </c>
      <c r="FV2" t="e">
        <f>AND('1.work system(หน่วยงานในคณะ)'!A28,"AAAAAFnb37E=")</f>
        <v>#VALUE!</v>
      </c>
      <c r="FW2" t="e">
        <f>AND('1.work system(หน่วยงานในคณะ)'!B28,"AAAAAFnb37I=")</f>
        <v>#VALUE!</v>
      </c>
      <c r="FX2" t="e">
        <f>AND('1.work system(หน่วยงานในคณะ)'!C28,"AAAAAFnb37M=")</f>
        <v>#VALUE!</v>
      </c>
      <c r="FY2" t="e">
        <f>AND('1.work system(หน่วยงานในคณะ)'!D28,"AAAAAFnb37Q=")</f>
        <v>#VALUE!</v>
      </c>
      <c r="FZ2" t="e">
        <f>AND('1.work system(หน่วยงานในคณะ)'!E28,"AAAAAFnb37U=")</f>
        <v>#VALUE!</v>
      </c>
      <c r="GA2" t="e">
        <f>AND('1.work system(หน่วยงานในคณะ)'!F28,"AAAAAFnb37Y=")</f>
        <v>#VALUE!</v>
      </c>
      <c r="GB2" t="e">
        <f>AND('1.work system(หน่วยงานในคณะ)'!G28,"AAAAAFnb37c=")</f>
        <v>#VALUE!</v>
      </c>
      <c r="GC2" t="e">
        <f>AND('1.work system(หน่วยงานในคณะ)'!H28,"AAAAAFnb37g=")</f>
        <v>#VALUE!</v>
      </c>
      <c r="GD2" t="e">
        <f>AND('1.work system(หน่วยงานในคณะ)'!I28,"AAAAAFnb37k=")</f>
        <v>#VALUE!</v>
      </c>
      <c r="GE2" t="e">
        <f>AND('1.work system(หน่วยงานในคณะ)'!J28,"AAAAAFnb37o=")</f>
        <v>#VALUE!</v>
      </c>
      <c r="GF2" t="e">
        <f>AND('1.work system(หน่วยงานในคณะ)'!K28,"AAAAAFnb37s=")</f>
        <v>#VALUE!</v>
      </c>
      <c r="GG2" t="e">
        <f>AND('1.work system(หน่วยงานในคณะ)'!L28,"AAAAAFnb37w=")</f>
        <v>#VALUE!</v>
      </c>
      <c r="GH2" t="e">
        <f>AND('1.work system(หน่วยงานในคณะ)'!M28,"AAAAAFnb370=")</f>
        <v>#VALUE!</v>
      </c>
      <c r="GI2" t="e">
        <f>AND('1.work system(หน่วยงานในคณะ)'!N28,"AAAAAFnb374=")</f>
        <v>#VALUE!</v>
      </c>
      <c r="GJ2" t="e">
        <f>AND('1.work system(หน่วยงานในคณะ)'!O28,"AAAAAFnb378=")</f>
        <v>#VALUE!</v>
      </c>
      <c r="GK2">
        <f>IF('1.work system(หน่วยงานในคณะ)'!29:29,"AAAAAFnb38A=",0)</f>
        <v>0</v>
      </c>
      <c r="GL2" t="e">
        <f>AND('1.work system(หน่วยงานในคณะ)'!A29,"AAAAAFnb38E=")</f>
        <v>#VALUE!</v>
      </c>
      <c r="GM2" t="e">
        <f>AND('1.work system(หน่วยงานในคณะ)'!B29,"AAAAAFnb38I=")</f>
        <v>#VALUE!</v>
      </c>
      <c r="GN2" t="e">
        <f>AND('1.work system(หน่วยงานในคณะ)'!C29,"AAAAAFnb38M=")</f>
        <v>#VALUE!</v>
      </c>
      <c r="GO2" t="e">
        <f>AND('1.work system(หน่วยงานในคณะ)'!D29,"AAAAAFnb38Q=")</f>
        <v>#VALUE!</v>
      </c>
      <c r="GP2" t="e">
        <f>AND('1.work system(หน่วยงานในคณะ)'!E29,"AAAAAFnb38U=")</f>
        <v>#VALUE!</v>
      </c>
      <c r="GQ2" t="e">
        <f>AND('1.work system(หน่วยงานในคณะ)'!F29,"AAAAAFnb38Y=")</f>
        <v>#VALUE!</v>
      </c>
      <c r="GR2">
        <f>IF('1.work system(หน่วยงานในคณะ)'!30:30,"AAAAAFnb38c=",0)</f>
        <v>0</v>
      </c>
      <c r="GS2" t="e">
        <f>AND('1.work system(หน่วยงานในคณะ)'!A30,"AAAAAFnb38g=")</f>
        <v>#VALUE!</v>
      </c>
      <c r="GT2" t="e">
        <f>AND('1.work system(หน่วยงานในคณะ)'!B30,"AAAAAFnb38k=")</f>
        <v>#VALUE!</v>
      </c>
      <c r="GU2" t="e">
        <f>AND('1.work system(หน่วยงานในคณะ)'!C30,"AAAAAFnb38o=")</f>
        <v>#VALUE!</v>
      </c>
      <c r="GV2" t="e">
        <f>AND('1.work system(หน่วยงานในคณะ)'!D30,"AAAAAFnb38s=")</f>
        <v>#VALUE!</v>
      </c>
      <c r="GW2" t="e">
        <f>AND('1.work system(หน่วยงานในคณะ)'!E30,"AAAAAFnb38w=")</f>
        <v>#VALUE!</v>
      </c>
      <c r="GX2" t="e">
        <f>AND('1.work system(หน่วยงานในคณะ)'!F30,"AAAAAFnb380=")</f>
        <v>#VALUE!</v>
      </c>
      <c r="GY2" t="e">
        <f>IF('1.work system(หน่วยงานในคณะ)'!A:A,"AAAAAFnb384=",0)</f>
        <v>#VALUE!</v>
      </c>
      <c r="GZ2">
        <f>IF('1.work system(หน่วยงานในคณะ)'!B:B,"AAAAAFnb388=",0)</f>
        <v>0</v>
      </c>
      <c r="HA2">
        <f>IF('1.work system(หน่วยงานในคณะ)'!C:C,"AAAAAFnb39A=",0)</f>
        <v>0</v>
      </c>
      <c r="HB2">
        <f>IF('1.work system(หน่วยงานในคณะ)'!D:D,"AAAAAFnb39E=",0)</f>
        <v>0</v>
      </c>
      <c r="HC2">
        <f>IF('1.work system(หน่วยงานในคณะ)'!E:E,"AAAAAFnb39I=",0)</f>
        <v>0</v>
      </c>
      <c r="HD2">
        <f>IF('1.work system(หน่วยงานในคณะ)'!F:F,"AAAAAFnb39M=",0)</f>
        <v>0</v>
      </c>
      <c r="HE2">
        <f>IF('1.work system(หน่วยงานในคณะ)'!G:G,"AAAAAFnb39Q=",0)</f>
        <v>0</v>
      </c>
      <c r="HF2">
        <f>IF('1.work system(หน่วยงานในคณะ)'!H:H,"AAAAAFnb39U=",0)</f>
        <v>0</v>
      </c>
      <c r="HG2">
        <f>IF('1.work system(หน่วยงานในคณะ)'!I:I,"AAAAAFnb39Y=",0)</f>
        <v>0</v>
      </c>
      <c r="HH2">
        <f>IF('1.work system(หน่วยงานในคณะ)'!J:J,"AAAAAFnb39c=",0)</f>
        <v>0</v>
      </c>
      <c r="HI2">
        <f>IF('1.work system(หน่วยงานในคณะ)'!K:K,"AAAAAFnb39g=",0)</f>
        <v>0</v>
      </c>
      <c r="HJ2">
        <f>IF('1.work system(หน่วยงานในคณะ)'!L:L,"AAAAAFnb39k=",0)</f>
        <v>0</v>
      </c>
      <c r="HK2">
        <f>IF('1.work system(หน่วยงานในคณะ)'!M:M,"AAAAAFnb39o=",0)</f>
        <v>0</v>
      </c>
      <c r="HL2">
        <f>IF('1.work system(หน่วยงานในคณะ)'!N:N,"AAAAAFnb39s=",0)</f>
        <v>0</v>
      </c>
      <c r="HM2">
        <f>IF('1.work system(หน่วยงานในคณะ)'!O:O,"AAAAAFnb39w=",0)</f>
        <v>0</v>
      </c>
      <c r="HN2">
        <f>IF('1.work system (ภาพรวมคณะ)'!1:1,"AAAAAFnb390=",0)</f>
        <v>0</v>
      </c>
      <c r="HO2" t="e">
        <f>AND('1.work system (ภาพรวมคณะ)'!A1,"AAAAAFnb394=")</f>
        <v>#VALUE!</v>
      </c>
      <c r="HP2" t="e">
        <f>AND('1.work system (ภาพรวมคณะ)'!B1,"AAAAAFnb398=")</f>
        <v>#VALUE!</v>
      </c>
      <c r="HQ2" t="e">
        <f>AND('1.work system (ภาพรวมคณะ)'!C1,"AAAAAFnb3+A=")</f>
        <v>#VALUE!</v>
      </c>
      <c r="HR2" t="e">
        <f>AND('1.work system (ภาพรวมคณะ)'!D1,"AAAAAFnb3+E=")</f>
        <v>#VALUE!</v>
      </c>
      <c r="HS2" t="e">
        <f>AND('1.work system (ภาพรวมคณะ)'!E1,"AAAAAFnb3+I=")</f>
        <v>#VALUE!</v>
      </c>
      <c r="HT2" t="e">
        <f>AND('1.work system (ภาพรวมคณะ)'!F1,"AAAAAFnb3+M=")</f>
        <v>#VALUE!</v>
      </c>
      <c r="HU2" t="e">
        <f>AND('1.work system (ภาพรวมคณะ)'!G1,"AAAAAFnb3+Q=")</f>
        <v>#VALUE!</v>
      </c>
      <c r="HV2" t="e">
        <f>AND('1.work system (ภาพรวมคณะ)'!H1,"AAAAAFnb3+U=")</f>
        <v>#VALUE!</v>
      </c>
      <c r="HW2" t="e">
        <f>AND('1.work system (ภาพรวมคณะ)'!I1,"AAAAAFnb3+Y=")</f>
        <v>#VALUE!</v>
      </c>
      <c r="HX2" t="e">
        <f>AND('1.work system (ภาพรวมคณะ)'!J1,"AAAAAFnb3+c=")</f>
        <v>#VALUE!</v>
      </c>
      <c r="HY2" t="e">
        <f>AND('1.work system (ภาพรวมคณะ)'!K1,"AAAAAFnb3+g=")</f>
        <v>#VALUE!</v>
      </c>
      <c r="HZ2" t="e">
        <f>AND('1.work system (ภาพรวมคณะ)'!L1,"AAAAAFnb3+k=")</f>
        <v>#VALUE!</v>
      </c>
      <c r="IA2" t="e">
        <f>AND('1.work system (ภาพรวมคณะ)'!M1,"AAAAAFnb3+o=")</f>
        <v>#VALUE!</v>
      </c>
      <c r="IB2" t="e">
        <f>AND('1.work system (ภาพรวมคณะ)'!N1,"AAAAAFnb3+s=")</f>
        <v>#VALUE!</v>
      </c>
      <c r="IC2" t="e">
        <f>AND('1.work system (ภาพรวมคณะ)'!O1,"AAAAAFnb3+w=")</f>
        <v>#VALUE!</v>
      </c>
      <c r="ID2">
        <f>IF('1.work system (ภาพรวมคณะ)'!2:2,"AAAAAFnb3+0=",0)</f>
        <v>0</v>
      </c>
      <c r="IE2" t="e">
        <f>AND('1.work system (ภาพรวมคณะ)'!A2,"AAAAAFnb3+4=")</f>
        <v>#VALUE!</v>
      </c>
      <c r="IF2" t="e">
        <f>AND('1.work system (ภาพรวมคณะ)'!B2,"AAAAAFnb3+8=")</f>
        <v>#VALUE!</v>
      </c>
      <c r="IG2" t="e">
        <f>AND('1.work system (ภาพรวมคณะ)'!C2,"AAAAAFnb3/A=")</f>
        <v>#VALUE!</v>
      </c>
      <c r="IH2" t="e">
        <f>AND('1.work system (ภาพรวมคณะ)'!D2,"AAAAAFnb3/E=")</f>
        <v>#VALUE!</v>
      </c>
      <c r="II2" t="e">
        <f>AND('1.work system (ภาพรวมคณะ)'!E2,"AAAAAFnb3/I=")</f>
        <v>#VALUE!</v>
      </c>
      <c r="IJ2" t="e">
        <f>AND('1.work system (ภาพรวมคณะ)'!F2,"AAAAAFnb3/M=")</f>
        <v>#VALUE!</v>
      </c>
      <c r="IK2" t="e">
        <f>AND('1.work system (ภาพรวมคณะ)'!G2,"AAAAAFnb3/Q=")</f>
        <v>#VALUE!</v>
      </c>
      <c r="IL2" t="e">
        <f>AND('1.work system (ภาพรวมคณะ)'!H2,"AAAAAFnb3/U=")</f>
        <v>#VALUE!</v>
      </c>
      <c r="IM2" t="e">
        <f>AND('1.work system (ภาพรวมคณะ)'!I2,"AAAAAFnb3/Y=")</f>
        <v>#VALUE!</v>
      </c>
      <c r="IN2" t="e">
        <f>AND('1.work system (ภาพรวมคณะ)'!J2,"AAAAAFnb3/c=")</f>
        <v>#VALUE!</v>
      </c>
      <c r="IO2" t="e">
        <f>AND('1.work system (ภาพรวมคณะ)'!K2,"AAAAAFnb3/g=")</f>
        <v>#VALUE!</v>
      </c>
      <c r="IP2" t="e">
        <f>AND('1.work system (ภาพรวมคณะ)'!L2,"AAAAAFnb3/k=")</f>
        <v>#VALUE!</v>
      </c>
      <c r="IQ2" t="e">
        <f>AND('1.work system (ภาพรวมคณะ)'!M2,"AAAAAFnb3/o=")</f>
        <v>#VALUE!</v>
      </c>
      <c r="IR2" t="e">
        <f>AND('1.work system (ภาพรวมคณะ)'!N2,"AAAAAFnb3/s=")</f>
        <v>#VALUE!</v>
      </c>
      <c r="IS2" t="e">
        <f>AND('1.work system (ภาพรวมคณะ)'!O2,"AAAAAFnb3/w=")</f>
        <v>#VALUE!</v>
      </c>
      <c r="IT2">
        <f>IF('1.work system (ภาพรวมคณะ)'!3:3,"AAAAAFnb3/0=",0)</f>
        <v>0</v>
      </c>
      <c r="IU2" t="e">
        <f>AND('1.work system (ภาพรวมคณะ)'!A3,"AAAAAFnb3/4=")</f>
        <v>#VALUE!</v>
      </c>
      <c r="IV2" t="e">
        <f>AND('1.work system (ภาพรวมคณะ)'!B3,"AAAAAFnb3/8=")</f>
        <v>#VALUE!</v>
      </c>
    </row>
    <row r="3" spans="1:256" ht="14.25">
      <c r="A3" t="e">
        <f>AND('1.work system (ภาพรวมคณะ)'!C3,"AAAAAGef3QA=")</f>
        <v>#VALUE!</v>
      </c>
      <c r="B3" t="e">
        <f>AND('1.work system (ภาพรวมคณะ)'!D3,"AAAAAGef3QE=")</f>
        <v>#VALUE!</v>
      </c>
      <c r="C3" t="e">
        <f>AND('1.work system (ภาพรวมคณะ)'!E3,"AAAAAGef3QI=")</f>
        <v>#VALUE!</v>
      </c>
      <c r="D3" t="e">
        <f>AND('1.work system (ภาพรวมคณะ)'!F3,"AAAAAGef3QM=")</f>
        <v>#VALUE!</v>
      </c>
      <c r="E3" t="e">
        <f>AND('1.work system (ภาพรวมคณะ)'!G3,"AAAAAGef3QQ=")</f>
        <v>#VALUE!</v>
      </c>
      <c r="F3" t="e">
        <f>AND('1.work system (ภาพรวมคณะ)'!H3,"AAAAAGef3QU=")</f>
        <v>#VALUE!</v>
      </c>
      <c r="G3" t="e">
        <f>AND('1.work system (ภาพรวมคณะ)'!I3,"AAAAAGef3QY=")</f>
        <v>#VALUE!</v>
      </c>
      <c r="H3" t="e">
        <f>AND('1.work system (ภาพรวมคณะ)'!J3,"AAAAAGef3Qc=")</f>
        <v>#VALUE!</v>
      </c>
      <c r="I3" t="e">
        <f>AND('1.work system (ภาพรวมคณะ)'!K3,"AAAAAGef3Qg=")</f>
        <v>#VALUE!</v>
      </c>
      <c r="J3" t="e">
        <f>AND('1.work system (ภาพรวมคณะ)'!L3,"AAAAAGef3Qk=")</f>
        <v>#VALUE!</v>
      </c>
      <c r="K3" t="e">
        <f>AND('1.work system (ภาพรวมคณะ)'!M3,"AAAAAGef3Qo=")</f>
        <v>#VALUE!</v>
      </c>
      <c r="L3" t="e">
        <f>AND('1.work system (ภาพรวมคณะ)'!N3,"AAAAAGef3Qs=")</f>
        <v>#VALUE!</v>
      </c>
      <c r="M3" t="e">
        <f>AND('1.work system (ภาพรวมคณะ)'!O3,"AAAAAGef3Qw=")</f>
        <v>#VALUE!</v>
      </c>
      <c r="N3">
        <f>IF('1.work system (ภาพรวมคณะ)'!4:4,"AAAAAGef3Q0=",0)</f>
        <v>0</v>
      </c>
      <c r="O3">
        <f>IF('1.work system (ภาพรวมคณะ)'!5:5,"AAAAAGef3Q4=",0)</f>
        <v>0</v>
      </c>
      <c r="P3">
        <f>IF('1.work system (ภาพรวมคณะ)'!6:6,"AAAAAGef3Q8=",0)</f>
        <v>0</v>
      </c>
      <c r="Q3">
        <f>IF('1.work system (ภาพรวมคณะ)'!7:7,"AAAAAGef3RA=",0)</f>
        <v>0</v>
      </c>
      <c r="R3">
        <f>IF('1.work system (ภาพรวมคณะ)'!8:8,"AAAAAGef3RE=",0)</f>
        <v>0</v>
      </c>
      <c r="S3">
        <f>IF('1.work system (ภาพรวมคณะ)'!9:9,"AAAAAGef3RI=",0)</f>
        <v>0</v>
      </c>
      <c r="T3">
        <f>IF('1.work system (ภาพรวมคณะ)'!10:10,"AAAAAGef3RM=",0)</f>
        <v>0</v>
      </c>
      <c r="U3">
        <f>IF('1.work system (ภาพรวมคณะ)'!11:11,"AAAAAGef3RQ=",0)</f>
        <v>0</v>
      </c>
      <c r="V3">
        <f>IF('1.work system (ภาพรวมคณะ)'!12:12,"AAAAAGef3RU=",0)</f>
        <v>0</v>
      </c>
      <c r="W3">
        <f>IF('1.work system (ภาพรวมคณะ)'!13:13,"AAAAAGef3RY=",0)</f>
        <v>0</v>
      </c>
      <c r="X3">
        <f>IF('1.work system (ภาพรวมคณะ)'!14:14,"AAAAAGef3Rc=",0)</f>
        <v>0</v>
      </c>
      <c r="Y3">
        <f>IF('1.work system (ภาพรวมคณะ)'!15:15,"AAAAAGef3Rg=",0)</f>
        <v>0</v>
      </c>
      <c r="Z3">
        <f>IF('1.work system (ภาพรวมคณะ)'!16:16,"AAAAAGef3Rk=",0)</f>
        <v>0</v>
      </c>
      <c r="AA3">
        <f>IF('1.work system (ภาพรวมคณะ)'!17:17,"AAAAAGef3Ro=",0)</f>
        <v>0</v>
      </c>
      <c r="AB3">
        <f>IF('1.work system (ภาพรวมคณะ)'!18:18,"AAAAAGef3Rs=",0)</f>
        <v>0</v>
      </c>
      <c r="AC3">
        <f>IF('1.work system (ภาพรวมคณะ)'!19:19,"AAAAAGef3Rw=",0)</f>
        <v>0</v>
      </c>
      <c r="AD3">
        <f>IF('1.work system (ภาพรวมคณะ)'!20:20,"AAAAAGef3R0=",0)</f>
        <v>0</v>
      </c>
      <c r="AE3">
        <f>IF('1.work system (ภาพรวมคณะ)'!21:21,"AAAAAGef3R4=",0)</f>
        <v>0</v>
      </c>
      <c r="AF3">
        <f>IF('1.work system (ภาพรวมคณะ)'!22:22,"AAAAAGef3R8=",0)</f>
        <v>0</v>
      </c>
      <c r="AG3">
        <f>IF('1.work system (ภาพรวมคณะ)'!23:23,"AAAAAGef3SA=",0)</f>
        <v>0</v>
      </c>
      <c r="AH3">
        <f>IF('1.work system (ภาพรวมคณะ)'!24:24,"AAAAAGef3SE=",0)</f>
        <v>0</v>
      </c>
      <c r="AI3">
        <f>IF('1.work system (ภาพรวมคณะ)'!25:25,"AAAAAGef3SI=",0)</f>
        <v>0</v>
      </c>
      <c r="AJ3">
        <f>IF('1.work system (ภาพรวมคณะ)'!26:26,"AAAAAGef3SM=",0)</f>
        <v>0</v>
      </c>
      <c r="AK3">
        <f>IF('1.work system (ภาพรวมคณะ)'!27:27,"AAAAAGef3SQ=",0)</f>
        <v>0</v>
      </c>
      <c r="AL3">
        <f>IF('1.work system (ภาพรวมคณะ)'!28:28,"AAAAAGef3SU=",0)</f>
        <v>0</v>
      </c>
      <c r="AM3">
        <f>IF('1.work system (ภาพรวมคณะ)'!29:29,"AAAAAGef3SY=",0)</f>
        <v>0</v>
      </c>
      <c r="AN3">
        <f>IF('1.work system (ภาพรวมคณะ)'!30:30,"AAAAAGef3Sc=",0)</f>
        <v>0</v>
      </c>
      <c r="AO3">
        <f>IF('1.work system (ภาพรวมคณะ)'!31:31,"AAAAAGef3Sg=",0)</f>
        <v>0</v>
      </c>
      <c r="AP3">
        <f>IF('1.work system (ภาพรวมคณะ)'!32:32,"AAAAAGef3Sk=",0)</f>
        <v>0</v>
      </c>
      <c r="AQ3">
        <f>IF('1.work system (ภาพรวมคณะ)'!33:33,"AAAAAGef3So=",0)</f>
        <v>0</v>
      </c>
      <c r="AR3">
        <f>IF('1.work system (ภาพรวมคณะ)'!34:34,"AAAAAGef3Ss=",0)</f>
        <v>0</v>
      </c>
      <c r="AS3">
        <f>IF('1.work system (ภาพรวมคณะ)'!35:35,"AAAAAGef3Sw=",0)</f>
        <v>0</v>
      </c>
      <c r="AT3">
        <f>IF('1.work system (ภาพรวมคณะ)'!36:36,"AAAAAGef3S0=",0)</f>
        <v>0</v>
      </c>
      <c r="AU3">
        <f>IF('1.work system (ภาพรวมคณะ)'!37:37,"AAAAAGef3S4=",0)</f>
        <v>0</v>
      </c>
      <c r="AV3">
        <f>IF('1.work system (ภาพรวมคณะ)'!38:38,"AAAAAGef3S8=",0)</f>
        <v>0</v>
      </c>
      <c r="AW3" t="e">
        <f>IF('1.work system (ภาพรวมคณะ)'!A:A,"AAAAAGef3TA=",0)</f>
        <v>#VALUE!</v>
      </c>
      <c r="AX3">
        <f>IF('1.work system (ภาพรวมคณะ)'!B:B,"AAAAAGef3TE=",0)</f>
        <v>0</v>
      </c>
      <c r="AY3">
        <f>IF('1.work system (ภาพรวมคณะ)'!C:C,"AAAAAGef3TI=",0)</f>
        <v>0</v>
      </c>
      <c r="AZ3">
        <f>IF('1.work system (ภาพรวมคณะ)'!D:D,"AAAAAGef3TM=",0)</f>
        <v>0</v>
      </c>
      <c r="BA3">
        <f>IF('1.work system (ภาพรวมคณะ)'!E:E,"AAAAAGef3TQ=",0)</f>
        <v>0</v>
      </c>
      <c r="BB3">
        <f>IF('1.work system (ภาพรวมคณะ)'!F:F,"AAAAAGef3TU=",0)</f>
        <v>0</v>
      </c>
      <c r="BC3">
        <f>IF('1.work system (ภาพรวมคณะ)'!G:G,"AAAAAGef3TY=",0)</f>
        <v>0</v>
      </c>
      <c r="BD3">
        <f>IF('1.work system (ภาพรวมคณะ)'!H:H,"AAAAAGef3Tc=",0)</f>
        <v>0</v>
      </c>
      <c r="BE3">
        <f>IF('1.work system (ภาพรวมคณะ)'!I:I,"AAAAAGef3Tg=",0)</f>
        <v>0</v>
      </c>
      <c r="BF3">
        <f>IF('1.work system (ภาพรวมคณะ)'!J:J,"AAAAAGef3Tk=",0)</f>
        <v>0</v>
      </c>
      <c r="BG3">
        <f>IF('1.work system (ภาพรวมคณะ)'!K:K,"AAAAAGef3To=",0)</f>
        <v>0</v>
      </c>
      <c r="BH3">
        <f>IF('1.work system (ภาพรวมคณะ)'!L:L,"AAAAAGef3Ts=",0)</f>
        <v>0</v>
      </c>
      <c r="BI3">
        <f>IF('1.work system (ภาพรวมคณะ)'!M:M,"AAAAAGef3Tw=",0)</f>
        <v>0</v>
      </c>
      <c r="BJ3">
        <f>IF('1.work system (ภาพรวมคณะ)'!N:N,"AAAAAGef3T0=",0)</f>
        <v>0</v>
      </c>
      <c r="BK3">
        <f>IF('1.work system (ภาพรวมคณะ)'!O:O,"AAAAAGef3T4=",0)</f>
        <v>0</v>
      </c>
      <c r="BL3">
        <f>IF('Sub Process สารสนเทศ'!1:1,"AAAAAGef3T8=",0)</f>
        <v>0</v>
      </c>
      <c r="BM3" t="e">
        <f>AND('Sub Process สารสนเทศ'!A1,"AAAAAGef3UA=")</f>
        <v>#VALUE!</v>
      </c>
      <c r="BN3" t="e">
        <f>AND('Sub Process สารสนเทศ'!B1,"AAAAAGef3UE=")</f>
        <v>#VALUE!</v>
      </c>
      <c r="BO3" t="e">
        <f>AND('Sub Process สารสนเทศ'!C1,"AAAAAGef3UI=")</f>
        <v>#VALUE!</v>
      </c>
      <c r="BP3" t="e">
        <f>AND('Sub Process สารสนเทศ'!D1,"AAAAAGef3UM=")</f>
        <v>#VALUE!</v>
      </c>
      <c r="BQ3" t="e">
        <f>AND('Sub Process สารสนเทศ'!E1,"AAAAAGef3UQ=")</f>
        <v>#VALUE!</v>
      </c>
      <c r="BR3">
        <f>IF('Sub Process สารสนเทศ'!2:2,"AAAAAGef3UU=",0)</f>
        <v>0</v>
      </c>
      <c r="BS3" t="e">
        <f>AND('Sub Process สารสนเทศ'!A2,"AAAAAGef3UY=")</f>
        <v>#VALUE!</v>
      </c>
      <c r="BT3" t="e">
        <f>AND('Sub Process สารสนเทศ'!B2,"AAAAAGef3Uc=")</f>
        <v>#VALUE!</v>
      </c>
      <c r="BU3" t="e">
        <f>AND('Sub Process สารสนเทศ'!C2,"AAAAAGef3Ug=")</f>
        <v>#VALUE!</v>
      </c>
      <c r="BV3" t="e">
        <f>AND('Sub Process สารสนเทศ'!D2,"AAAAAGef3Uk=")</f>
        <v>#VALUE!</v>
      </c>
      <c r="BW3" t="e">
        <f>AND('Sub Process สารสนเทศ'!E2,"AAAAAGef3Uo=")</f>
        <v>#VALUE!</v>
      </c>
      <c r="BX3">
        <f>IF('Sub Process สารสนเทศ'!3:3,"AAAAAGef3Us=",0)</f>
        <v>0</v>
      </c>
      <c r="BY3" t="e">
        <f>AND('Sub Process สารสนเทศ'!A3,"AAAAAGef3Uw=")</f>
        <v>#VALUE!</v>
      </c>
      <c r="BZ3" t="e">
        <f>AND('Sub Process สารสนเทศ'!B3,"AAAAAGef3U0=")</f>
        <v>#VALUE!</v>
      </c>
      <c r="CA3" t="e">
        <f>AND('Sub Process สารสนเทศ'!C3,"AAAAAGef3U4=")</f>
        <v>#VALUE!</v>
      </c>
      <c r="CB3" t="e">
        <f>AND('Sub Process สารสนเทศ'!D3,"AAAAAGef3U8=")</f>
        <v>#VALUE!</v>
      </c>
      <c r="CC3" t="e">
        <f>AND('Sub Process สารสนเทศ'!E3,"AAAAAGef3VA=")</f>
        <v>#VALUE!</v>
      </c>
      <c r="CD3">
        <f>IF('Sub Process สารสนเทศ'!4:4,"AAAAAGef3VE=",0)</f>
        <v>0</v>
      </c>
      <c r="CE3" t="e">
        <f>AND('Sub Process สารสนเทศ'!A4,"AAAAAGef3VI=")</f>
        <v>#VALUE!</v>
      </c>
      <c r="CF3" t="e">
        <f>AND('Sub Process สารสนเทศ'!B4,"AAAAAGef3VM=")</f>
        <v>#VALUE!</v>
      </c>
      <c r="CG3" t="e">
        <f>AND('Sub Process สารสนเทศ'!C4,"AAAAAGef3VQ=")</f>
        <v>#VALUE!</v>
      </c>
      <c r="CH3" t="e">
        <f>AND('Sub Process สารสนเทศ'!D4,"AAAAAGef3VU=")</f>
        <v>#VALUE!</v>
      </c>
      <c r="CI3" t="e">
        <f>AND('Sub Process สารสนเทศ'!E4,"AAAAAGef3VY=")</f>
        <v>#VALUE!</v>
      </c>
      <c r="CJ3">
        <f>IF('Sub Process สารสนเทศ'!5:5,"AAAAAGef3Vc=",0)</f>
        <v>0</v>
      </c>
      <c r="CK3" t="e">
        <f>AND('Sub Process สารสนเทศ'!A5,"AAAAAGef3Vg=")</f>
        <v>#VALUE!</v>
      </c>
      <c r="CL3" t="e">
        <f>AND('Sub Process สารสนเทศ'!B5,"AAAAAGef3Vk=")</f>
        <v>#VALUE!</v>
      </c>
      <c r="CM3" t="e">
        <f>AND('Sub Process สารสนเทศ'!C5,"AAAAAGef3Vo=")</f>
        <v>#VALUE!</v>
      </c>
      <c r="CN3" t="e">
        <f>AND('Sub Process สารสนเทศ'!D5,"AAAAAGef3Vs=")</f>
        <v>#VALUE!</v>
      </c>
      <c r="CO3" t="e">
        <f>AND('Sub Process สารสนเทศ'!E5,"AAAAAGef3Vw=")</f>
        <v>#VALUE!</v>
      </c>
      <c r="CP3">
        <f>IF('Sub Process สารสนเทศ'!6:6,"AAAAAGef3V0=",0)</f>
        <v>0</v>
      </c>
      <c r="CQ3" t="e">
        <f>AND('Sub Process สารสนเทศ'!A6,"AAAAAGef3V4=")</f>
        <v>#VALUE!</v>
      </c>
      <c r="CR3" t="e">
        <f>AND('Sub Process สารสนเทศ'!B6,"AAAAAGef3V8=")</f>
        <v>#VALUE!</v>
      </c>
      <c r="CS3" t="e">
        <f>AND('Sub Process สารสนเทศ'!C6,"AAAAAGef3WA=")</f>
        <v>#VALUE!</v>
      </c>
      <c r="CT3" t="e">
        <f>AND('Sub Process สารสนเทศ'!D6,"AAAAAGef3WE=")</f>
        <v>#VALUE!</v>
      </c>
      <c r="CU3" t="e">
        <f>AND('Sub Process สารสนเทศ'!E6,"AAAAAGef3WI=")</f>
        <v>#VALUE!</v>
      </c>
      <c r="CV3">
        <f>IF('Sub Process สารสนเทศ'!7:7,"AAAAAGef3WM=",0)</f>
        <v>0</v>
      </c>
      <c r="CW3" t="e">
        <f>AND('Sub Process สารสนเทศ'!A7,"AAAAAGef3WQ=")</f>
        <v>#VALUE!</v>
      </c>
      <c r="CX3" t="e">
        <f>AND('Sub Process สารสนเทศ'!B7,"AAAAAGef3WU=")</f>
        <v>#VALUE!</v>
      </c>
      <c r="CY3" t="e">
        <f>AND('Sub Process สารสนเทศ'!C7,"AAAAAGef3WY=")</f>
        <v>#VALUE!</v>
      </c>
      <c r="CZ3" t="e">
        <f>AND('Sub Process สารสนเทศ'!D7,"AAAAAGef3Wc=")</f>
        <v>#VALUE!</v>
      </c>
      <c r="DA3" t="e">
        <f>AND('Sub Process สารสนเทศ'!E7,"AAAAAGef3Wg=")</f>
        <v>#VALUE!</v>
      </c>
      <c r="DB3">
        <f>IF('Sub Process สารสนเทศ'!8:8,"AAAAAGef3Wk=",0)</f>
        <v>0</v>
      </c>
      <c r="DC3" t="e">
        <f>AND('Sub Process สารสนเทศ'!A8,"AAAAAGef3Wo=")</f>
        <v>#VALUE!</v>
      </c>
      <c r="DD3" t="e">
        <f>AND('Sub Process สารสนเทศ'!B8,"AAAAAGef3Ws=")</f>
        <v>#VALUE!</v>
      </c>
      <c r="DE3" t="e">
        <f>AND('Sub Process สารสนเทศ'!C8,"AAAAAGef3Ww=")</f>
        <v>#VALUE!</v>
      </c>
      <c r="DF3" t="e">
        <f>AND('Sub Process สารสนเทศ'!D8,"AAAAAGef3W0=")</f>
        <v>#VALUE!</v>
      </c>
      <c r="DG3" t="e">
        <f>AND('Sub Process สารสนเทศ'!E8,"AAAAAGef3W4=")</f>
        <v>#VALUE!</v>
      </c>
      <c r="DH3" t="e">
        <f>IF('Sub Process สารสนเทศ'!#REF!,"AAAAAGef3W8=",0)</f>
        <v>#REF!</v>
      </c>
      <c r="DI3" t="e">
        <f>AND('Sub Process สารสนเทศ'!#REF!,"AAAAAGef3XA=")</f>
        <v>#REF!</v>
      </c>
      <c r="DJ3" t="e">
        <f>AND('Sub Process สารสนเทศ'!#REF!,"AAAAAGef3XE=")</f>
        <v>#REF!</v>
      </c>
      <c r="DK3" t="e">
        <f>AND('Sub Process สารสนเทศ'!#REF!,"AAAAAGef3XI=")</f>
        <v>#REF!</v>
      </c>
      <c r="DL3" t="e">
        <f>AND('Sub Process สารสนเทศ'!#REF!,"AAAAAGef3XM=")</f>
        <v>#REF!</v>
      </c>
      <c r="DM3" t="e">
        <f>AND('Sub Process สารสนเทศ'!#REF!,"AAAAAGef3XQ=")</f>
        <v>#REF!</v>
      </c>
      <c r="DN3">
        <f>IF('Sub Process สารสนเทศ'!9:9,"AAAAAGef3XU=",0)</f>
        <v>0</v>
      </c>
      <c r="DO3" t="e">
        <f>AND('Sub Process สารสนเทศ'!A9,"AAAAAGef3XY=")</f>
        <v>#VALUE!</v>
      </c>
      <c r="DP3" t="e">
        <f>AND('Sub Process สารสนเทศ'!B9,"AAAAAGef3Xc=")</f>
        <v>#VALUE!</v>
      </c>
      <c r="DQ3" t="e">
        <f>AND('Sub Process สารสนเทศ'!C9,"AAAAAGef3Xg=")</f>
        <v>#VALUE!</v>
      </c>
      <c r="DR3" t="e">
        <f>AND('Sub Process สารสนเทศ'!D9,"AAAAAGef3Xk=")</f>
        <v>#VALUE!</v>
      </c>
      <c r="DS3" t="e">
        <f>AND('Sub Process สารสนเทศ'!E9,"AAAAAGef3Xo=")</f>
        <v>#VALUE!</v>
      </c>
      <c r="DT3">
        <f>IF('Sub Process สารสนเทศ'!10:10,"AAAAAGef3Xs=",0)</f>
        <v>0</v>
      </c>
      <c r="DU3" t="e">
        <f>AND('Sub Process สารสนเทศ'!A10,"AAAAAGef3Xw=")</f>
        <v>#VALUE!</v>
      </c>
      <c r="DV3" t="e">
        <f>AND('Sub Process สารสนเทศ'!B10,"AAAAAGef3X0=")</f>
        <v>#VALUE!</v>
      </c>
      <c r="DW3" t="e">
        <f>AND('Sub Process สารสนเทศ'!C10,"AAAAAGef3X4=")</f>
        <v>#VALUE!</v>
      </c>
      <c r="DX3" t="e">
        <f>AND('Sub Process สารสนเทศ'!D10,"AAAAAGef3X8=")</f>
        <v>#VALUE!</v>
      </c>
      <c r="DY3" t="e">
        <f>AND('Sub Process สารสนเทศ'!E10,"AAAAAGef3YA=")</f>
        <v>#VALUE!</v>
      </c>
      <c r="DZ3">
        <f>IF('Sub Process สารสนเทศ'!11:11,"AAAAAGef3YE=",0)</f>
        <v>0</v>
      </c>
      <c r="EA3" t="e">
        <f>AND('Sub Process สารสนเทศ'!A11,"AAAAAGef3YI=")</f>
        <v>#VALUE!</v>
      </c>
      <c r="EB3" t="e">
        <f>AND('Sub Process สารสนเทศ'!B11,"AAAAAGef3YM=")</f>
        <v>#VALUE!</v>
      </c>
      <c r="EC3" t="e">
        <f>AND('Sub Process สารสนเทศ'!C11,"AAAAAGef3YQ=")</f>
        <v>#VALUE!</v>
      </c>
      <c r="ED3" t="e">
        <f>AND('Sub Process สารสนเทศ'!D11,"AAAAAGef3YU=")</f>
        <v>#VALUE!</v>
      </c>
      <c r="EE3" t="e">
        <f>AND('Sub Process สารสนเทศ'!E11,"AAAAAGef3YY=")</f>
        <v>#VALUE!</v>
      </c>
      <c r="EF3" t="e">
        <f>IF('Sub Process สารสนเทศ'!#REF!,"AAAAAGef3Yc=",0)</f>
        <v>#REF!</v>
      </c>
      <c r="EG3" t="e">
        <f>AND('Sub Process สารสนเทศ'!#REF!,"AAAAAGef3Yg=")</f>
        <v>#REF!</v>
      </c>
      <c r="EH3" t="e">
        <f>AND('Sub Process สารสนเทศ'!#REF!,"AAAAAGef3Yk=")</f>
        <v>#REF!</v>
      </c>
      <c r="EI3" t="e">
        <f>AND('Sub Process สารสนเทศ'!#REF!,"AAAAAGef3Yo=")</f>
        <v>#REF!</v>
      </c>
      <c r="EJ3" t="e">
        <f>AND('Sub Process สารสนเทศ'!#REF!,"AAAAAGef3Ys=")</f>
        <v>#REF!</v>
      </c>
      <c r="EK3" t="e">
        <f>AND('Sub Process สารสนเทศ'!#REF!,"AAAAAGef3Yw=")</f>
        <v>#REF!</v>
      </c>
      <c r="EL3">
        <f>IF('Sub Process สารสนเทศ'!12:12,"AAAAAGef3Y0=",0)</f>
        <v>0</v>
      </c>
      <c r="EM3" t="e">
        <f>AND('Sub Process สารสนเทศ'!A12,"AAAAAGef3Y4=")</f>
        <v>#VALUE!</v>
      </c>
      <c r="EN3" t="e">
        <f>AND('Sub Process สารสนเทศ'!B12,"AAAAAGef3Y8=")</f>
        <v>#VALUE!</v>
      </c>
      <c r="EO3" t="e">
        <f>AND('Sub Process สารสนเทศ'!C12,"AAAAAGef3ZA=")</f>
        <v>#VALUE!</v>
      </c>
      <c r="EP3" t="e">
        <f>AND('Sub Process สารสนเทศ'!D12,"AAAAAGef3ZE=")</f>
        <v>#VALUE!</v>
      </c>
      <c r="EQ3" t="e">
        <f>AND('Sub Process สารสนเทศ'!E12,"AAAAAGef3ZI=")</f>
        <v>#VALUE!</v>
      </c>
      <c r="ER3">
        <f>IF('Sub Process สารสนเทศ'!13:13,"AAAAAGef3ZM=",0)</f>
        <v>0</v>
      </c>
      <c r="ES3" t="e">
        <f>AND('Sub Process สารสนเทศ'!A13,"AAAAAGef3ZQ=")</f>
        <v>#VALUE!</v>
      </c>
      <c r="ET3" t="e">
        <f>AND('Sub Process สารสนเทศ'!B13,"AAAAAGef3ZU=")</f>
        <v>#VALUE!</v>
      </c>
      <c r="EU3" t="e">
        <f>AND('Sub Process สารสนเทศ'!C13,"AAAAAGef3ZY=")</f>
        <v>#VALUE!</v>
      </c>
      <c r="EV3" t="e">
        <f>AND('Sub Process สารสนเทศ'!D13,"AAAAAGef3Zc=")</f>
        <v>#VALUE!</v>
      </c>
      <c r="EW3" t="e">
        <f>AND('Sub Process สารสนเทศ'!E13,"AAAAAGef3Zg=")</f>
        <v>#VALUE!</v>
      </c>
      <c r="EX3" t="e">
        <f>IF('Sub Process สารสนเทศ'!#REF!,"AAAAAGef3Zk=",0)</f>
        <v>#REF!</v>
      </c>
      <c r="EY3" t="e">
        <f>AND('Sub Process สารสนเทศ'!#REF!,"AAAAAGef3Zo=")</f>
        <v>#REF!</v>
      </c>
      <c r="EZ3" t="e">
        <f>AND('Sub Process สารสนเทศ'!#REF!,"AAAAAGef3Zs=")</f>
        <v>#REF!</v>
      </c>
      <c r="FA3" t="e">
        <f>AND('Sub Process สารสนเทศ'!#REF!,"AAAAAGef3Zw=")</f>
        <v>#REF!</v>
      </c>
      <c r="FB3" t="e">
        <f>AND('Sub Process สารสนเทศ'!#REF!,"AAAAAGef3Z0=")</f>
        <v>#REF!</v>
      </c>
      <c r="FC3" t="e">
        <f>AND('Sub Process สารสนเทศ'!#REF!,"AAAAAGef3Z4=")</f>
        <v>#REF!</v>
      </c>
      <c r="FD3">
        <f>IF('Sub Process สารสนเทศ'!14:14,"AAAAAGef3Z8=",0)</f>
        <v>0</v>
      </c>
      <c r="FE3" t="e">
        <f>AND('Sub Process สารสนเทศ'!A14,"AAAAAGef3aA=")</f>
        <v>#VALUE!</v>
      </c>
      <c r="FF3" t="e">
        <f>AND('Sub Process สารสนเทศ'!B14,"AAAAAGef3aE=")</f>
        <v>#VALUE!</v>
      </c>
      <c r="FG3" t="e">
        <f>AND('Sub Process สารสนเทศ'!C14,"AAAAAGef3aI=")</f>
        <v>#VALUE!</v>
      </c>
      <c r="FH3" t="e">
        <f>AND('Sub Process สารสนเทศ'!D14,"AAAAAGef3aM=")</f>
        <v>#VALUE!</v>
      </c>
      <c r="FI3" t="e">
        <f>AND('Sub Process สารสนเทศ'!E14,"AAAAAGef3aQ=")</f>
        <v>#VALUE!</v>
      </c>
      <c r="FJ3">
        <f>IF('Sub Process สารสนเทศ'!15:15,"AAAAAGef3aU=",0)</f>
        <v>0</v>
      </c>
      <c r="FK3" t="e">
        <f>AND('Sub Process สารสนเทศ'!A15,"AAAAAGef3aY=")</f>
        <v>#VALUE!</v>
      </c>
      <c r="FL3" t="e">
        <f>AND('Sub Process สารสนเทศ'!B15,"AAAAAGef3ac=")</f>
        <v>#VALUE!</v>
      </c>
      <c r="FM3" t="e">
        <f>AND('Sub Process สารสนเทศ'!C15,"AAAAAGef3ag=")</f>
        <v>#VALUE!</v>
      </c>
      <c r="FN3" t="e">
        <f>AND('Sub Process สารสนเทศ'!D15,"AAAAAGef3ak=")</f>
        <v>#VALUE!</v>
      </c>
      <c r="FO3" t="e">
        <f>AND('Sub Process สารสนเทศ'!E15,"AAAAAGef3ao=")</f>
        <v>#VALUE!</v>
      </c>
      <c r="FP3">
        <f>IF('Sub Process สารสนเทศ'!18:18,"AAAAAGef3as=",0)</f>
        <v>0</v>
      </c>
      <c r="FQ3" t="e">
        <f>AND('Sub Process สารสนเทศ'!A18,"AAAAAGef3aw=")</f>
        <v>#VALUE!</v>
      </c>
      <c r="FR3" t="e">
        <f>AND('Sub Process สารสนเทศ'!B18,"AAAAAGef3a0=")</f>
        <v>#VALUE!</v>
      </c>
      <c r="FS3" t="e">
        <f>AND('Sub Process สารสนเทศ'!C18,"AAAAAGef3a4=")</f>
        <v>#VALUE!</v>
      </c>
      <c r="FT3" t="e">
        <f>AND('Sub Process สารสนเทศ'!D18,"AAAAAGef3a8=")</f>
        <v>#VALUE!</v>
      </c>
      <c r="FU3" t="e">
        <f>AND('Sub Process สารสนเทศ'!E18,"AAAAAGef3bA=")</f>
        <v>#VALUE!</v>
      </c>
      <c r="FV3">
        <f>IF('Sub Process สารสนเทศ'!19:19,"AAAAAGef3bE=",0)</f>
        <v>0</v>
      </c>
      <c r="FW3" t="e">
        <f>AND('Sub Process สารสนเทศ'!A19,"AAAAAGef3bI=")</f>
        <v>#VALUE!</v>
      </c>
      <c r="FX3" t="e">
        <f>AND('Sub Process สารสนเทศ'!B19,"AAAAAGef3bM=")</f>
        <v>#VALUE!</v>
      </c>
      <c r="FY3" t="e">
        <f>AND('Sub Process สารสนเทศ'!C19,"AAAAAGef3bQ=")</f>
        <v>#VALUE!</v>
      </c>
      <c r="FZ3" t="e">
        <f>AND('Sub Process สารสนเทศ'!D19,"AAAAAGef3bU=")</f>
        <v>#VALUE!</v>
      </c>
      <c r="GA3" t="e">
        <f>AND('Sub Process สารสนเทศ'!E19,"AAAAAGef3bY=")</f>
        <v>#VALUE!</v>
      </c>
      <c r="GB3">
        <f>IF('Sub Process สารสนเทศ'!20:20,"AAAAAGef3bc=",0)</f>
        <v>0</v>
      </c>
      <c r="GC3" t="e">
        <f>AND('Sub Process สารสนเทศ'!A20,"AAAAAGef3bg=")</f>
        <v>#VALUE!</v>
      </c>
      <c r="GD3" t="e">
        <f>AND('Sub Process สารสนเทศ'!B20,"AAAAAGef3bk=")</f>
        <v>#VALUE!</v>
      </c>
      <c r="GE3" t="e">
        <f>AND('Sub Process สารสนเทศ'!C20,"AAAAAGef3bo=")</f>
        <v>#VALUE!</v>
      </c>
      <c r="GF3" t="e">
        <f>AND('Sub Process สารสนเทศ'!D20,"AAAAAGef3bs=")</f>
        <v>#VALUE!</v>
      </c>
      <c r="GG3" t="e">
        <f>AND('Sub Process สารสนเทศ'!E20,"AAAAAGef3bw=")</f>
        <v>#VALUE!</v>
      </c>
      <c r="GH3">
        <f>IF('Sub Process สารสนเทศ'!21:21,"AAAAAGef3b0=",0)</f>
        <v>0</v>
      </c>
      <c r="GI3" t="e">
        <f>AND('Sub Process สารสนเทศ'!A21,"AAAAAGef3b4=")</f>
        <v>#VALUE!</v>
      </c>
      <c r="GJ3" t="e">
        <f>AND('Sub Process สารสนเทศ'!B21,"AAAAAGef3b8=")</f>
        <v>#VALUE!</v>
      </c>
      <c r="GK3" t="e">
        <f>AND('Sub Process สารสนเทศ'!C21,"AAAAAGef3cA=")</f>
        <v>#VALUE!</v>
      </c>
      <c r="GL3" t="e">
        <f>AND('Sub Process สารสนเทศ'!D21,"AAAAAGef3cE=")</f>
        <v>#VALUE!</v>
      </c>
      <c r="GM3" t="e">
        <f>AND('Sub Process สารสนเทศ'!E21,"AAAAAGef3cI=")</f>
        <v>#VALUE!</v>
      </c>
      <c r="GN3">
        <f>IF('Sub Process สารสนเทศ'!22:22,"AAAAAGef3cM=",0)</f>
        <v>0</v>
      </c>
      <c r="GO3" t="e">
        <f>AND('Sub Process สารสนเทศ'!A22,"AAAAAGef3cQ=")</f>
        <v>#VALUE!</v>
      </c>
      <c r="GP3" t="e">
        <f>AND('Sub Process สารสนเทศ'!B22,"AAAAAGef3cU=")</f>
        <v>#VALUE!</v>
      </c>
      <c r="GQ3" t="e">
        <f>AND('Sub Process สารสนเทศ'!C22,"AAAAAGef3cY=")</f>
        <v>#VALUE!</v>
      </c>
      <c r="GR3" t="e">
        <f>AND('Sub Process สารสนเทศ'!D22,"AAAAAGef3cc=")</f>
        <v>#VALUE!</v>
      </c>
      <c r="GS3" t="e">
        <f>AND('Sub Process สารสนเทศ'!E22,"AAAAAGef3cg=")</f>
        <v>#VALUE!</v>
      </c>
      <c r="GT3">
        <f>IF('Sub Process สารสนเทศ'!24:24,"AAAAAGef3ck=",0)</f>
        <v>0</v>
      </c>
      <c r="GU3" t="e">
        <f>AND('Sub Process สารสนเทศ'!A24,"AAAAAGef3co=")</f>
        <v>#VALUE!</v>
      </c>
      <c r="GV3" t="e">
        <f>AND('Sub Process สารสนเทศ'!B24,"AAAAAGef3cs=")</f>
        <v>#VALUE!</v>
      </c>
      <c r="GW3" t="e">
        <f>AND('Sub Process สารสนเทศ'!C24,"AAAAAGef3cw=")</f>
        <v>#VALUE!</v>
      </c>
      <c r="GX3" t="e">
        <f>AND('Sub Process สารสนเทศ'!D24,"AAAAAGef3c0=")</f>
        <v>#VALUE!</v>
      </c>
      <c r="GY3" t="e">
        <f>AND('Sub Process สารสนเทศ'!E24,"AAAAAGef3c4=")</f>
        <v>#VALUE!</v>
      </c>
      <c r="GZ3">
        <f>IF('Sub Process สารสนเทศ'!25:25,"AAAAAGef3c8=",0)</f>
        <v>0</v>
      </c>
      <c r="HA3" t="e">
        <f>AND('Sub Process สารสนเทศ'!A25,"AAAAAGef3dA=")</f>
        <v>#VALUE!</v>
      </c>
      <c r="HB3" t="e">
        <f>AND('Sub Process สารสนเทศ'!B25,"AAAAAGef3dE=")</f>
        <v>#VALUE!</v>
      </c>
      <c r="HC3" t="e">
        <f>AND('Sub Process สารสนเทศ'!C25,"AAAAAGef3dI=")</f>
        <v>#VALUE!</v>
      </c>
      <c r="HD3" t="e">
        <f>AND('Sub Process สารสนเทศ'!D25,"AAAAAGef3dM=")</f>
        <v>#VALUE!</v>
      </c>
      <c r="HE3" t="e">
        <f>AND('Sub Process สารสนเทศ'!E25,"AAAAAGef3dQ=")</f>
        <v>#VALUE!</v>
      </c>
      <c r="HF3">
        <f>IF('Sub Process สารสนเทศ'!26:26,"AAAAAGef3dU=",0)</f>
        <v>0</v>
      </c>
      <c r="HG3" t="e">
        <f>AND('Sub Process สารสนเทศ'!A26,"AAAAAGef3dY=")</f>
        <v>#VALUE!</v>
      </c>
      <c r="HH3" t="e">
        <f>AND('Sub Process สารสนเทศ'!B26,"AAAAAGef3dc=")</f>
        <v>#VALUE!</v>
      </c>
      <c r="HI3" t="e">
        <f>AND('Sub Process สารสนเทศ'!C26,"AAAAAGef3dg=")</f>
        <v>#VALUE!</v>
      </c>
      <c r="HJ3" t="e">
        <f>AND('Sub Process สารสนเทศ'!D26,"AAAAAGef3dk=")</f>
        <v>#VALUE!</v>
      </c>
      <c r="HK3" t="e">
        <f>AND('Sub Process สารสนเทศ'!E26,"AAAAAGef3do=")</f>
        <v>#VALUE!</v>
      </c>
      <c r="HL3">
        <f>IF('Sub Process สารสนเทศ'!27:27,"AAAAAGef3ds=",0)</f>
        <v>0</v>
      </c>
      <c r="HM3" t="e">
        <f>AND('Sub Process สารสนเทศ'!A27,"AAAAAGef3dw=")</f>
        <v>#VALUE!</v>
      </c>
      <c r="HN3" t="e">
        <f>AND('Sub Process สารสนเทศ'!B27,"AAAAAGef3d0=")</f>
        <v>#VALUE!</v>
      </c>
      <c r="HO3" t="e">
        <f>AND('Sub Process สารสนเทศ'!C27,"AAAAAGef3d4=")</f>
        <v>#VALUE!</v>
      </c>
      <c r="HP3" t="e">
        <f>AND('Sub Process สารสนเทศ'!D27,"AAAAAGef3d8=")</f>
        <v>#VALUE!</v>
      </c>
      <c r="HQ3" t="e">
        <f>AND('Sub Process สารสนเทศ'!E27,"AAAAAGef3eA=")</f>
        <v>#VALUE!</v>
      </c>
      <c r="HR3">
        <f>IF('Sub Process สารสนเทศ'!28:28,"AAAAAGef3eE=",0)</f>
        <v>0</v>
      </c>
      <c r="HS3" t="e">
        <f>AND('Sub Process สารสนเทศ'!A28,"AAAAAGef3eI=")</f>
        <v>#VALUE!</v>
      </c>
      <c r="HT3" t="e">
        <f>AND('Sub Process สารสนเทศ'!B28,"AAAAAGef3eM=")</f>
        <v>#VALUE!</v>
      </c>
      <c r="HU3" t="e">
        <f>AND('Sub Process สารสนเทศ'!C28,"AAAAAGef3eQ=")</f>
        <v>#VALUE!</v>
      </c>
      <c r="HV3" t="e">
        <f>AND('Sub Process สารสนเทศ'!D28,"AAAAAGef3eU=")</f>
        <v>#VALUE!</v>
      </c>
      <c r="HW3" t="e">
        <f>AND('Sub Process สารสนเทศ'!E28,"AAAAAGef3eY=")</f>
        <v>#VALUE!</v>
      </c>
      <c r="HX3" t="e">
        <f>IF('Sub Process สารสนเทศ'!#REF!,"AAAAAGef3ec=",0)</f>
        <v>#REF!</v>
      </c>
      <c r="HY3" t="e">
        <f>AND('Sub Process สารสนเทศ'!#REF!,"AAAAAGef3eg=")</f>
        <v>#REF!</v>
      </c>
      <c r="HZ3" t="e">
        <f>AND('Sub Process สารสนเทศ'!#REF!,"AAAAAGef3ek=")</f>
        <v>#REF!</v>
      </c>
      <c r="IA3" t="e">
        <f>AND('Sub Process สารสนเทศ'!#REF!,"AAAAAGef3eo=")</f>
        <v>#REF!</v>
      </c>
      <c r="IB3" t="e">
        <f>AND('Sub Process สารสนเทศ'!#REF!,"AAAAAGef3es=")</f>
        <v>#REF!</v>
      </c>
      <c r="IC3" t="e">
        <f>AND('Sub Process สารสนเทศ'!#REF!,"AAAAAGef3ew=")</f>
        <v>#REF!</v>
      </c>
      <c r="ID3">
        <f>IF('Sub Process สารสนเทศ'!29:29,"AAAAAGef3e0=",0)</f>
        <v>0</v>
      </c>
      <c r="IE3">
        <f>IF('Sub Process สารสนเทศ'!30:30,"AAAAAGef3e4=",0)</f>
        <v>0</v>
      </c>
      <c r="IF3" t="e">
        <f>IF('Sub Process สารสนเทศ'!A:A,"AAAAAGef3e8=",0)</f>
        <v>#VALUE!</v>
      </c>
      <c r="IG3">
        <f>IF('Sub Process สารสนเทศ'!B:B,"AAAAAGef3fA=",0)</f>
        <v>0</v>
      </c>
      <c r="IH3">
        <f>IF('Sub Process สารสนเทศ'!C:C,"AAAAAGef3fE=",0)</f>
        <v>0</v>
      </c>
      <c r="II3">
        <f>IF('Sub Process สารสนเทศ'!D:D,"AAAAAGef3fI=",0)</f>
        <v>0</v>
      </c>
      <c r="IJ3" t="e">
        <f>IF('Sub Process สารสนเทศ'!E:E,"AAAAAGef3fM=",0)</f>
        <v>#VALUE!</v>
      </c>
      <c r="IK3">
        <f>IF('3.SIPOC ซอต์ฟแวร์'!1:1,"AAAAAGef3fQ=",0)</f>
        <v>0</v>
      </c>
      <c r="IL3" t="e">
        <f>AND('3.SIPOC ซอต์ฟแวร์'!A1,"AAAAAGef3fU=")</f>
        <v>#VALUE!</v>
      </c>
      <c r="IM3" t="e">
        <f>AND('3.SIPOC ซอต์ฟแวร์'!B1,"AAAAAGef3fY=")</f>
        <v>#VALUE!</v>
      </c>
      <c r="IN3" t="e">
        <f>AND('3.SIPOC ซอต์ฟแวร์'!C1,"AAAAAGef3fc=")</f>
        <v>#VALUE!</v>
      </c>
      <c r="IO3" t="e">
        <f>AND('3.SIPOC ซอต์ฟแวร์'!D1,"AAAAAGef3fg=")</f>
        <v>#VALUE!</v>
      </c>
      <c r="IP3" t="e">
        <f>AND('3.SIPOC ซอต์ฟแวร์'!E1,"AAAAAGef3fk=")</f>
        <v>#VALUE!</v>
      </c>
      <c r="IQ3" t="e">
        <f>AND('3.SIPOC ซอต์ฟแวร์'!F1,"AAAAAGef3fo=")</f>
        <v>#VALUE!</v>
      </c>
      <c r="IR3">
        <f>IF('3.SIPOC ซอต์ฟแวร์'!2:2,"AAAAAGef3fs=",0)</f>
        <v>0</v>
      </c>
      <c r="IS3" t="e">
        <f>AND('3.SIPOC ซอต์ฟแวร์'!A2,"AAAAAGef3fw=")</f>
        <v>#VALUE!</v>
      </c>
      <c r="IT3" t="e">
        <f>AND('3.SIPOC ซอต์ฟแวร์'!B2,"AAAAAGef3f0=")</f>
        <v>#VALUE!</v>
      </c>
      <c r="IU3" t="e">
        <f>AND('3.SIPOC ซอต์ฟแวร์'!C2,"AAAAAGef3f4=")</f>
        <v>#VALUE!</v>
      </c>
      <c r="IV3" t="e">
        <f>AND('3.SIPOC ซอต์ฟแวร์'!D2,"AAAAAGef3f8=")</f>
        <v>#VALUE!</v>
      </c>
    </row>
    <row r="4" spans="1:256" ht="14.25">
      <c r="A4" t="e">
        <f>AND('3.SIPOC ซอต์ฟแวร์'!E2,"AAAAAB/7rwA=")</f>
        <v>#VALUE!</v>
      </c>
      <c r="B4" t="e">
        <f>AND('3.SIPOC ซอต์ฟแวร์'!F2,"AAAAAB/7rwE=")</f>
        <v>#VALUE!</v>
      </c>
      <c r="C4">
        <f>IF('3.SIPOC ซอต์ฟแวร์'!3:3,"AAAAAB/7rwI=",0)</f>
        <v>0</v>
      </c>
      <c r="D4" t="e">
        <f>AND('3.SIPOC ซอต์ฟแวร์'!A3,"AAAAAB/7rwM=")</f>
        <v>#VALUE!</v>
      </c>
      <c r="E4" t="e">
        <f>AND('3.SIPOC ซอต์ฟแวร์'!B3,"AAAAAB/7rwQ=")</f>
        <v>#VALUE!</v>
      </c>
      <c r="F4" t="e">
        <f>AND('3.SIPOC ซอต์ฟแวร์'!C3,"AAAAAB/7rwU=")</f>
        <v>#VALUE!</v>
      </c>
      <c r="G4" t="e">
        <f>AND('3.SIPOC ซอต์ฟแวร์'!D3,"AAAAAB/7rwY=")</f>
        <v>#VALUE!</v>
      </c>
      <c r="H4" t="e">
        <f>AND('3.SIPOC ซอต์ฟแวร์'!E3,"AAAAAB/7rwc=")</f>
        <v>#VALUE!</v>
      </c>
      <c r="I4" t="e">
        <f>AND('3.SIPOC ซอต์ฟแวร์'!F3,"AAAAAB/7rwg=")</f>
        <v>#VALUE!</v>
      </c>
      <c r="J4">
        <f>IF('3.SIPOC ซอต์ฟแวร์'!4:4,"AAAAAB/7rwk=",0)</f>
        <v>0</v>
      </c>
      <c r="K4" t="e">
        <f>AND('3.SIPOC ซอต์ฟแวร์'!A4,"AAAAAB/7rwo=")</f>
        <v>#VALUE!</v>
      </c>
      <c r="L4" t="e">
        <f>AND('3.SIPOC ซอต์ฟแวร์'!B4,"AAAAAB/7rws=")</f>
        <v>#VALUE!</v>
      </c>
      <c r="M4" t="e">
        <f>AND('3.SIPOC ซอต์ฟแวร์'!C4,"AAAAAB/7rww=")</f>
        <v>#VALUE!</v>
      </c>
      <c r="N4" t="e">
        <f>AND('3.SIPOC ซอต์ฟแวร์'!D4,"AAAAAB/7rw0=")</f>
        <v>#VALUE!</v>
      </c>
      <c r="O4" t="e">
        <f>AND('3.SIPOC ซอต์ฟแวร์'!E4,"AAAAAB/7rw4=")</f>
        <v>#VALUE!</v>
      </c>
      <c r="P4" t="e">
        <f>AND('3.SIPOC ซอต์ฟแวร์'!F4,"AAAAAB/7rw8=")</f>
        <v>#VALUE!</v>
      </c>
      <c r="Q4">
        <f>IF('3.SIPOC ซอต์ฟแวร์'!5:5,"AAAAAB/7rxA=",0)</f>
        <v>0</v>
      </c>
      <c r="R4" t="e">
        <f>AND('3.SIPOC ซอต์ฟแวร์'!A5,"AAAAAB/7rxE=")</f>
        <v>#VALUE!</v>
      </c>
      <c r="S4" t="e">
        <f>AND('3.SIPOC ซอต์ฟแวร์'!B5,"AAAAAB/7rxI=")</f>
        <v>#VALUE!</v>
      </c>
      <c r="T4" t="e">
        <f>AND('3.SIPOC ซอต์ฟแวร์'!C5,"AAAAAB/7rxM=")</f>
        <v>#VALUE!</v>
      </c>
      <c r="U4" t="e">
        <f>AND('3.SIPOC ซอต์ฟแวร์'!D5,"AAAAAB/7rxQ=")</f>
        <v>#VALUE!</v>
      </c>
      <c r="V4" t="e">
        <f>AND('3.SIPOC ซอต์ฟแวร์'!E5,"AAAAAB/7rxU=")</f>
        <v>#VALUE!</v>
      </c>
      <c r="W4" t="e">
        <f>AND('3.SIPOC ซอต์ฟแวร์'!F5,"AAAAAB/7rxY=")</f>
        <v>#VALUE!</v>
      </c>
      <c r="X4">
        <f>IF('3.SIPOC ซอต์ฟแวร์'!6:6,"AAAAAB/7rxc=",0)</f>
        <v>0</v>
      </c>
      <c r="Y4" t="e">
        <f>AND('3.SIPOC ซอต์ฟแวร์'!A6,"AAAAAB/7rxg=")</f>
        <v>#VALUE!</v>
      </c>
      <c r="Z4" t="e">
        <f>AND('3.SIPOC ซอต์ฟแวร์'!B6,"AAAAAB/7rxk=")</f>
        <v>#VALUE!</v>
      </c>
      <c r="AA4" t="e">
        <f>AND('3.SIPOC ซอต์ฟแวร์'!C6,"AAAAAB/7rxo=")</f>
        <v>#VALUE!</v>
      </c>
      <c r="AB4" t="e">
        <f>AND('3.SIPOC ซอต์ฟแวร์'!D6,"AAAAAB/7rxs=")</f>
        <v>#VALUE!</v>
      </c>
      <c r="AC4" t="e">
        <f>AND('3.SIPOC ซอต์ฟแวร์'!E6,"AAAAAB/7rxw=")</f>
        <v>#VALUE!</v>
      </c>
      <c r="AD4" t="e">
        <f>AND('3.SIPOC ซอต์ฟแวร์'!F6,"AAAAAB/7rx0=")</f>
        <v>#VALUE!</v>
      </c>
      <c r="AE4">
        <f>IF('3.SIPOC ซอต์ฟแวร์'!7:7,"AAAAAB/7rx4=",0)</f>
        <v>0</v>
      </c>
      <c r="AF4" t="e">
        <f>AND('3.SIPOC ซอต์ฟแวร์'!A7,"AAAAAB/7rx8=")</f>
        <v>#VALUE!</v>
      </c>
      <c r="AG4" t="e">
        <f>AND('3.SIPOC ซอต์ฟแวร์'!B7,"AAAAAB/7ryA=")</f>
        <v>#VALUE!</v>
      </c>
      <c r="AH4" t="e">
        <f>AND('3.SIPOC ซอต์ฟแวร์'!C7,"AAAAAB/7ryE=")</f>
        <v>#VALUE!</v>
      </c>
      <c r="AI4" t="e">
        <f>AND('3.SIPOC ซอต์ฟแวร์'!D7,"AAAAAB/7ryI=")</f>
        <v>#VALUE!</v>
      </c>
      <c r="AJ4" t="e">
        <f>AND('3.SIPOC ซอต์ฟแวร์'!E7,"AAAAAB/7ryM=")</f>
        <v>#VALUE!</v>
      </c>
      <c r="AK4" t="e">
        <f>AND('3.SIPOC ซอต์ฟแวร์'!F7,"AAAAAB/7ryQ=")</f>
        <v>#VALUE!</v>
      </c>
      <c r="AL4">
        <f>IF('3.SIPOC ซอต์ฟแวร์'!8:8,"AAAAAB/7ryU=",0)</f>
        <v>0</v>
      </c>
      <c r="AM4" t="e">
        <f>AND('3.SIPOC ซอต์ฟแวร์'!A8,"AAAAAB/7ryY=")</f>
        <v>#VALUE!</v>
      </c>
      <c r="AN4" t="e">
        <f>AND('3.SIPOC ซอต์ฟแวร์'!B8,"AAAAAB/7ryc=")</f>
        <v>#VALUE!</v>
      </c>
      <c r="AO4" t="e">
        <f>AND('3.SIPOC ซอต์ฟแวร์'!C8,"AAAAAB/7ryg=")</f>
        <v>#VALUE!</v>
      </c>
      <c r="AP4" t="e">
        <f>AND('3.SIPOC ซอต์ฟแวร์'!D8,"AAAAAB/7ryk=")</f>
        <v>#VALUE!</v>
      </c>
      <c r="AQ4" t="e">
        <f>AND('3.SIPOC ซอต์ฟแวร์'!E8,"AAAAAB/7ryo=")</f>
        <v>#VALUE!</v>
      </c>
      <c r="AR4" t="e">
        <f>AND('3.SIPOC ซอต์ฟแวร์'!F8,"AAAAAB/7rys=")</f>
        <v>#VALUE!</v>
      </c>
      <c r="AS4">
        <f>IF('3.SIPOC ซอต์ฟแวร์'!9:9,"AAAAAB/7ryw=",0)</f>
        <v>0</v>
      </c>
      <c r="AT4" t="e">
        <f>AND('3.SIPOC ซอต์ฟแวร์'!A9,"AAAAAB/7ry0=")</f>
        <v>#VALUE!</v>
      </c>
      <c r="AU4" t="e">
        <f>AND('3.SIPOC ซอต์ฟแวร์'!B9,"AAAAAB/7ry4=")</f>
        <v>#VALUE!</v>
      </c>
      <c r="AV4" t="e">
        <f>AND('3.SIPOC ซอต์ฟแวร์'!C9,"AAAAAB/7ry8=")</f>
        <v>#VALUE!</v>
      </c>
      <c r="AW4" t="e">
        <f>AND('3.SIPOC ซอต์ฟแวร์'!D9,"AAAAAB/7rzA=")</f>
        <v>#VALUE!</v>
      </c>
      <c r="AX4" t="e">
        <f>AND('3.SIPOC ซอต์ฟแวร์'!E9,"AAAAAB/7rzE=")</f>
        <v>#VALUE!</v>
      </c>
      <c r="AY4" t="e">
        <f>AND('3.SIPOC ซอต์ฟแวร์'!F9,"AAAAAB/7rzI=")</f>
        <v>#VALUE!</v>
      </c>
      <c r="AZ4">
        <f>IF('3.SIPOC ซอต์ฟแวร์'!10:10,"AAAAAB/7rzM=",0)</f>
        <v>0</v>
      </c>
      <c r="BA4" t="e">
        <f>AND('3.SIPOC ซอต์ฟแวร์'!A10,"AAAAAB/7rzQ=")</f>
        <v>#VALUE!</v>
      </c>
      <c r="BB4" t="e">
        <f>AND('3.SIPOC ซอต์ฟแวร์'!B10,"AAAAAB/7rzU=")</f>
        <v>#VALUE!</v>
      </c>
      <c r="BC4" t="e">
        <f>AND('3.SIPOC ซอต์ฟแวร์'!C10,"AAAAAB/7rzY=")</f>
        <v>#VALUE!</v>
      </c>
      <c r="BD4" t="e">
        <f>AND('3.SIPOC ซอต์ฟแวร์'!D10,"AAAAAB/7rzc=")</f>
        <v>#VALUE!</v>
      </c>
      <c r="BE4" t="e">
        <f>AND('3.SIPOC ซอต์ฟแวร์'!E10,"AAAAAB/7rzg=")</f>
        <v>#VALUE!</v>
      </c>
      <c r="BF4" t="e">
        <f>AND('3.SIPOC ซอต์ฟแวร์'!F10,"AAAAAB/7rzk=")</f>
        <v>#VALUE!</v>
      </c>
      <c r="BG4">
        <f>IF('3.SIPOC ซอต์ฟแวร์'!11:11,"AAAAAB/7rzo=",0)</f>
        <v>0</v>
      </c>
      <c r="BH4" t="e">
        <f>AND('3.SIPOC ซอต์ฟแวร์'!A11,"AAAAAB/7rzs=")</f>
        <v>#VALUE!</v>
      </c>
      <c r="BI4" t="e">
        <f>AND('3.SIPOC ซอต์ฟแวร์'!B11,"AAAAAB/7rzw=")</f>
        <v>#VALUE!</v>
      </c>
      <c r="BJ4" t="e">
        <f>AND('3.SIPOC ซอต์ฟแวร์'!C11,"AAAAAB/7rz0=")</f>
        <v>#VALUE!</v>
      </c>
      <c r="BK4" t="e">
        <f>AND('3.SIPOC ซอต์ฟแวร์'!D11,"AAAAAB/7rz4=")</f>
        <v>#VALUE!</v>
      </c>
      <c r="BL4" t="e">
        <f>AND('3.SIPOC ซอต์ฟแวร์'!E11,"AAAAAB/7rz8=")</f>
        <v>#VALUE!</v>
      </c>
      <c r="BM4" t="e">
        <f>AND('3.SIPOC ซอต์ฟแวร์'!F11,"AAAAAB/7r0A=")</f>
        <v>#VALUE!</v>
      </c>
      <c r="BN4">
        <f>IF('3.SIPOC ซอต์ฟแวร์'!12:12,"AAAAAB/7r0E=",0)</f>
        <v>0</v>
      </c>
      <c r="BO4" t="e">
        <f>AND('3.SIPOC ซอต์ฟแวร์'!A12,"AAAAAB/7r0I=")</f>
        <v>#VALUE!</v>
      </c>
      <c r="BP4" t="e">
        <f>AND('3.SIPOC ซอต์ฟแวร์'!B12,"AAAAAB/7r0M=")</f>
        <v>#VALUE!</v>
      </c>
      <c r="BQ4" t="e">
        <f>AND('3.SIPOC ซอต์ฟแวร์'!C12,"AAAAAB/7r0Q=")</f>
        <v>#VALUE!</v>
      </c>
      <c r="BR4" t="e">
        <f>AND('3.SIPOC ซอต์ฟแวร์'!D12,"AAAAAB/7r0U=")</f>
        <v>#VALUE!</v>
      </c>
      <c r="BS4" t="e">
        <f>AND('3.SIPOC ซอต์ฟแวร์'!E12,"AAAAAB/7r0Y=")</f>
        <v>#VALUE!</v>
      </c>
      <c r="BT4" t="e">
        <f>AND('3.SIPOC ซอต์ฟแวร์'!F12,"AAAAAB/7r0c=")</f>
        <v>#VALUE!</v>
      </c>
      <c r="BU4">
        <f>IF('3.SIPOC ซอต์ฟแวร์'!13:13,"AAAAAB/7r0g=",0)</f>
        <v>0</v>
      </c>
      <c r="BV4" t="e">
        <f>AND('3.SIPOC ซอต์ฟแวร์'!A13,"AAAAAB/7r0k=")</f>
        <v>#VALUE!</v>
      </c>
      <c r="BW4" t="e">
        <f>AND('3.SIPOC ซอต์ฟแวร์'!B13,"AAAAAB/7r0o=")</f>
        <v>#VALUE!</v>
      </c>
      <c r="BX4" t="e">
        <f>AND('3.SIPOC ซอต์ฟแวร์'!C13,"AAAAAB/7r0s=")</f>
        <v>#VALUE!</v>
      </c>
      <c r="BY4" t="e">
        <f>AND('3.SIPOC ซอต์ฟแวร์'!D13,"AAAAAB/7r0w=")</f>
        <v>#VALUE!</v>
      </c>
      <c r="BZ4" t="e">
        <f>AND('3.SIPOC ซอต์ฟแวร์'!E13,"AAAAAB/7r00=")</f>
        <v>#VALUE!</v>
      </c>
      <c r="CA4" t="e">
        <f>AND('3.SIPOC ซอต์ฟแวร์'!F13,"AAAAAB/7r04=")</f>
        <v>#VALUE!</v>
      </c>
      <c r="CB4">
        <f>IF('3.SIPOC ซอต์ฟแวร์'!14:14,"AAAAAB/7r08=",0)</f>
        <v>0</v>
      </c>
      <c r="CC4" t="e">
        <f>AND('3.SIPOC ซอต์ฟแวร์'!A14,"AAAAAB/7r1A=")</f>
        <v>#VALUE!</v>
      </c>
      <c r="CD4" t="e">
        <f>AND('3.SIPOC ซอต์ฟแวร์'!B14,"AAAAAB/7r1E=")</f>
        <v>#VALUE!</v>
      </c>
      <c r="CE4" t="e">
        <f>AND('3.SIPOC ซอต์ฟแวร์'!C14,"AAAAAB/7r1I=")</f>
        <v>#VALUE!</v>
      </c>
      <c r="CF4" t="e">
        <f>AND('3.SIPOC ซอต์ฟแวร์'!D14,"AAAAAB/7r1M=")</f>
        <v>#VALUE!</v>
      </c>
      <c r="CG4" t="e">
        <f>AND('3.SIPOC ซอต์ฟแวร์'!E14,"AAAAAB/7r1Q=")</f>
        <v>#VALUE!</v>
      </c>
      <c r="CH4" t="e">
        <f>AND('3.SIPOC ซอต์ฟแวร์'!F14,"AAAAAB/7r1U=")</f>
        <v>#VALUE!</v>
      </c>
      <c r="CI4">
        <f>IF('3.SIPOC ซอต์ฟแวร์'!15:15,"AAAAAB/7r1Y=",0)</f>
        <v>0</v>
      </c>
      <c r="CJ4" t="e">
        <f>AND('3.SIPOC ซอต์ฟแวร์'!A15,"AAAAAB/7r1c=")</f>
        <v>#VALUE!</v>
      </c>
      <c r="CK4" t="e">
        <f>AND('3.SIPOC ซอต์ฟแวร์'!B15,"AAAAAB/7r1g=")</f>
        <v>#VALUE!</v>
      </c>
      <c r="CL4" t="e">
        <f>AND('3.SIPOC ซอต์ฟแวร์'!C15,"AAAAAB/7r1k=")</f>
        <v>#VALUE!</v>
      </c>
      <c r="CM4" t="e">
        <f>AND('3.SIPOC ซอต์ฟแวร์'!D15,"AAAAAB/7r1o=")</f>
        <v>#VALUE!</v>
      </c>
      <c r="CN4" t="e">
        <f>AND('3.SIPOC ซอต์ฟแวร์'!E15,"AAAAAB/7r1s=")</f>
        <v>#VALUE!</v>
      </c>
      <c r="CO4" t="e">
        <f>AND('3.SIPOC ซอต์ฟแวร์'!F15,"AAAAAB/7r1w=")</f>
        <v>#VALUE!</v>
      </c>
      <c r="CP4">
        <f>IF('3.SIPOC ซอต์ฟแวร์'!16:16,"AAAAAB/7r10=",0)</f>
        <v>0</v>
      </c>
      <c r="CQ4" t="e">
        <f>AND('3.SIPOC ซอต์ฟแวร์'!A16,"AAAAAB/7r14=")</f>
        <v>#VALUE!</v>
      </c>
      <c r="CR4" t="e">
        <f>AND('3.SIPOC ซอต์ฟแวร์'!B16,"AAAAAB/7r18=")</f>
        <v>#VALUE!</v>
      </c>
      <c r="CS4" t="e">
        <f>AND('3.SIPOC ซอต์ฟแวร์'!C16,"AAAAAB/7r2A=")</f>
        <v>#VALUE!</v>
      </c>
      <c r="CT4" t="e">
        <f>AND('3.SIPOC ซอต์ฟแวร์'!D16,"AAAAAB/7r2E=")</f>
        <v>#VALUE!</v>
      </c>
      <c r="CU4" t="e">
        <f>AND('3.SIPOC ซอต์ฟแวร์'!E16,"AAAAAB/7r2I=")</f>
        <v>#VALUE!</v>
      </c>
      <c r="CV4" t="e">
        <f>AND('3.SIPOC ซอต์ฟแวร์'!F16,"AAAAAB/7r2M=")</f>
        <v>#VALUE!</v>
      </c>
      <c r="CW4">
        <f>IF('3.SIPOC ซอต์ฟแวร์'!17:17,"AAAAAB/7r2Q=",0)</f>
        <v>0</v>
      </c>
      <c r="CX4" t="e">
        <f>AND('3.SIPOC ซอต์ฟแวร์'!A17,"AAAAAB/7r2U=")</f>
        <v>#VALUE!</v>
      </c>
      <c r="CY4" t="e">
        <f>AND('3.SIPOC ซอต์ฟแวร์'!B17,"AAAAAB/7r2Y=")</f>
        <v>#VALUE!</v>
      </c>
      <c r="CZ4" t="e">
        <f>AND('3.SIPOC ซอต์ฟแวร์'!C17,"AAAAAB/7r2c=")</f>
        <v>#VALUE!</v>
      </c>
      <c r="DA4" t="e">
        <f>AND('3.SIPOC ซอต์ฟแวร์'!D17,"AAAAAB/7r2g=")</f>
        <v>#VALUE!</v>
      </c>
      <c r="DB4" t="e">
        <f>AND('3.SIPOC ซอต์ฟแวร์'!E17,"AAAAAB/7r2k=")</f>
        <v>#VALUE!</v>
      </c>
      <c r="DC4" t="e">
        <f>AND('3.SIPOC ซอต์ฟแวร์'!F17,"AAAAAB/7r2o=")</f>
        <v>#VALUE!</v>
      </c>
      <c r="DD4">
        <f>IF('3.SIPOC ซอต์ฟแวร์'!18:18,"AAAAAB/7r2s=",0)</f>
        <v>0</v>
      </c>
      <c r="DE4" t="e">
        <f>AND('3.SIPOC ซอต์ฟแวร์'!A18,"AAAAAB/7r2w=")</f>
        <v>#VALUE!</v>
      </c>
      <c r="DF4" t="e">
        <f>AND('3.SIPOC ซอต์ฟแวร์'!B18,"AAAAAB/7r20=")</f>
        <v>#VALUE!</v>
      </c>
      <c r="DG4" t="e">
        <f>AND('3.SIPOC ซอต์ฟแวร์'!C18,"AAAAAB/7r24=")</f>
        <v>#VALUE!</v>
      </c>
      <c r="DH4" t="e">
        <f>AND('3.SIPOC ซอต์ฟแวร์'!D18,"AAAAAB/7r28=")</f>
        <v>#VALUE!</v>
      </c>
      <c r="DI4" t="e">
        <f>AND('3.SIPOC ซอต์ฟแวร์'!E18,"AAAAAB/7r3A=")</f>
        <v>#VALUE!</v>
      </c>
      <c r="DJ4" t="e">
        <f>AND('3.SIPOC ซอต์ฟแวร์'!F18,"AAAAAB/7r3E=")</f>
        <v>#VALUE!</v>
      </c>
      <c r="DK4">
        <f>IF('3.SIPOC ซอต์ฟแวร์'!19:19,"AAAAAB/7r3I=",0)</f>
        <v>0</v>
      </c>
      <c r="DL4">
        <f>IF('3.SIPOC ซอต์ฟแวร์'!20:20,"AAAAAB/7r3M=",0)</f>
        <v>0</v>
      </c>
      <c r="DM4">
        <f>IF('3.SIPOC ซอต์ฟแวร์'!21:21,"AAAAAB/7r3Q=",0)</f>
        <v>0</v>
      </c>
      <c r="DN4">
        <f>IF('3.SIPOC ซอต์ฟแวร์'!22:22,"AAAAAB/7r3U=",0)</f>
        <v>0</v>
      </c>
      <c r="DO4">
        <f>IF('3.SIPOC ซอต์ฟแวร์'!23:23,"AAAAAB/7r3Y=",0)</f>
        <v>0</v>
      </c>
      <c r="DP4">
        <f>IF('3.SIPOC ซอต์ฟแวร์'!24:24,"AAAAAB/7r3c=",0)</f>
        <v>0</v>
      </c>
      <c r="DQ4">
        <f>IF('3.SIPOC ซอต์ฟแวร์'!25:25,"AAAAAB/7r3g=",0)</f>
        <v>0</v>
      </c>
      <c r="DR4">
        <f>IF('3.SIPOC ซอต์ฟแวร์'!26:26,"AAAAAB/7r3k=",0)</f>
        <v>0</v>
      </c>
      <c r="DS4">
        <f>IF('3.SIPOC ซอต์ฟแวร์'!27:27,"AAAAAB/7r3o=",0)</f>
        <v>0</v>
      </c>
      <c r="DT4" t="e">
        <f>IF('3.SIPOC ซอต์ฟแวร์'!A:A,"AAAAAB/7r3s=",0)</f>
        <v>#VALUE!</v>
      </c>
      <c r="DU4">
        <f>IF('3.SIPOC ซอต์ฟแวร์'!B:B,"AAAAAB/7r3w=",0)</f>
        <v>0</v>
      </c>
      <c r="DV4">
        <f>IF('3.SIPOC ซอต์ฟแวร์'!C:C,"AAAAAB/7r30=",0)</f>
        <v>0</v>
      </c>
      <c r="DW4">
        <f>IF('3.SIPOC ซอต์ฟแวร์'!D:D,"AAAAAB/7r34=",0)</f>
        <v>0</v>
      </c>
      <c r="DX4">
        <f>IF('3.SIPOC ซอต์ฟแวร์'!E:E,"AAAAAB/7r38=",0)</f>
        <v>0</v>
      </c>
      <c r="DY4" t="e">
        <f>IF('3.SIPOC ซอต์ฟแวร์'!F:F,"AAAAAB/7r4A=",0)</f>
        <v>#VALUE!</v>
      </c>
      <c r="DZ4" t="e">
        <f>IF(#REF!,"AAAAAB/7r4E=",0)</f>
        <v>#REF!</v>
      </c>
      <c r="EA4" t="e">
        <f>AND(#REF!,"AAAAAB/7r4I=")</f>
        <v>#REF!</v>
      </c>
      <c r="EB4" t="e">
        <f>AND(#REF!,"AAAAAB/7r4M=")</f>
        <v>#REF!</v>
      </c>
      <c r="EC4" t="e">
        <f>AND(#REF!,"AAAAAB/7r4Q=")</f>
        <v>#REF!</v>
      </c>
      <c r="ED4" t="e">
        <f>AND(#REF!,"AAAAAB/7r4U=")</f>
        <v>#REF!</v>
      </c>
      <c r="EE4" t="e">
        <f>AND(#REF!,"AAAAAB/7r4Y=")</f>
        <v>#REF!</v>
      </c>
      <c r="EF4" t="e">
        <f>AND(#REF!,"AAAAAB/7r4c=")</f>
        <v>#REF!</v>
      </c>
      <c r="EG4" t="e">
        <f>IF(#REF!,"AAAAAB/7r4g=",0)</f>
        <v>#REF!</v>
      </c>
      <c r="EH4" t="e">
        <f>AND(#REF!,"AAAAAB/7r4k=")</f>
        <v>#REF!</v>
      </c>
      <c r="EI4" t="e">
        <f>AND(#REF!,"AAAAAB/7r4o=")</f>
        <v>#REF!</v>
      </c>
      <c r="EJ4" t="e">
        <f>AND(#REF!,"AAAAAB/7r4s=")</f>
        <v>#REF!</v>
      </c>
      <c r="EK4" t="e">
        <f>AND(#REF!,"AAAAAB/7r4w=")</f>
        <v>#REF!</v>
      </c>
      <c r="EL4" t="e">
        <f>AND(#REF!,"AAAAAB/7r40=")</f>
        <v>#REF!</v>
      </c>
      <c r="EM4" t="e">
        <f>AND(#REF!,"AAAAAB/7r44=")</f>
        <v>#REF!</v>
      </c>
      <c r="EN4" t="e">
        <f>IF(#REF!,"AAAAAB/7r48=",0)</f>
        <v>#REF!</v>
      </c>
      <c r="EO4" t="e">
        <f>AND(#REF!,"AAAAAB/7r5A=")</f>
        <v>#REF!</v>
      </c>
      <c r="EP4" t="e">
        <f>AND(#REF!,"AAAAAB/7r5E=")</f>
        <v>#REF!</v>
      </c>
      <c r="EQ4" t="e">
        <f>AND(#REF!,"AAAAAB/7r5I=")</f>
        <v>#REF!</v>
      </c>
      <c r="ER4" t="e">
        <f>AND(#REF!,"AAAAAB/7r5M=")</f>
        <v>#REF!</v>
      </c>
      <c r="ES4" t="e">
        <f>AND(#REF!,"AAAAAB/7r5Q=")</f>
        <v>#REF!</v>
      </c>
      <c r="ET4" t="e">
        <f>AND(#REF!,"AAAAAB/7r5U=")</f>
        <v>#REF!</v>
      </c>
      <c r="EU4" t="e">
        <f>IF(#REF!,"AAAAAB/7r5Y=",0)</f>
        <v>#REF!</v>
      </c>
      <c r="EV4" t="e">
        <f>AND(#REF!,"AAAAAB/7r5c=")</f>
        <v>#REF!</v>
      </c>
      <c r="EW4" t="e">
        <f>AND(#REF!,"AAAAAB/7r5g=")</f>
        <v>#REF!</v>
      </c>
      <c r="EX4" t="e">
        <f>AND(#REF!,"AAAAAB/7r5k=")</f>
        <v>#REF!</v>
      </c>
      <c r="EY4" t="e">
        <f>AND(#REF!,"AAAAAB/7r5o=")</f>
        <v>#REF!</v>
      </c>
      <c r="EZ4" t="e">
        <f>AND(#REF!,"AAAAAB/7r5s=")</f>
        <v>#REF!</v>
      </c>
      <c r="FA4" t="e">
        <f>AND(#REF!,"AAAAAB/7r5w=")</f>
        <v>#REF!</v>
      </c>
      <c r="FB4" t="e">
        <f>IF(#REF!,"AAAAAB/7r50=",0)</f>
        <v>#REF!</v>
      </c>
      <c r="FC4" t="e">
        <f>AND(#REF!,"AAAAAB/7r54=")</f>
        <v>#REF!</v>
      </c>
      <c r="FD4" t="e">
        <f>AND(#REF!,"AAAAAB/7r58=")</f>
        <v>#REF!</v>
      </c>
      <c r="FE4" t="e">
        <f>AND(#REF!,"AAAAAB/7r6A=")</f>
        <v>#REF!</v>
      </c>
      <c r="FF4" t="e">
        <f>AND(#REF!,"AAAAAB/7r6E=")</f>
        <v>#REF!</v>
      </c>
      <c r="FG4" t="e">
        <f>AND(#REF!,"AAAAAB/7r6I=")</f>
        <v>#REF!</v>
      </c>
      <c r="FH4" t="e">
        <f>AND(#REF!,"AAAAAB/7r6M=")</f>
        <v>#REF!</v>
      </c>
      <c r="FI4" t="e">
        <f>IF(#REF!,"AAAAAB/7r6Q=",0)</f>
        <v>#REF!</v>
      </c>
      <c r="FJ4" t="e">
        <f>AND(#REF!,"AAAAAB/7r6U=")</f>
        <v>#REF!</v>
      </c>
      <c r="FK4" t="e">
        <f>AND(#REF!,"AAAAAB/7r6Y=")</f>
        <v>#REF!</v>
      </c>
      <c r="FL4" t="e">
        <f>AND(#REF!,"AAAAAB/7r6c=")</f>
        <v>#REF!</v>
      </c>
      <c r="FM4" t="e">
        <f>AND(#REF!,"AAAAAB/7r6g=")</f>
        <v>#REF!</v>
      </c>
      <c r="FN4" t="e">
        <f>AND(#REF!,"AAAAAB/7r6k=")</f>
        <v>#REF!</v>
      </c>
      <c r="FO4" t="e">
        <f>AND(#REF!,"AAAAAB/7r6o=")</f>
        <v>#REF!</v>
      </c>
      <c r="FP4" t="e">
        <f>IF(#REF!,"AAAAAB/7r6s=",0)</f>
        <v>#REF!</v>
      </c>
      <c r="FQ4" t="e">
        <f>AND(#REF!,"AAAAAB/7r6w=")</f>
        <v>#REF!</v>
      </c>
      <c r="FR4" t="e">
        <f>AND(#REF!,"AAAAAB/7r60=")</f>
        <v>#REF!</v>
      </c>
      <c r="FS4" t="e">
        <f>AND(#REF!,"AAAAAB/7r64=")</f>
        <v>#REF!</v>
      </c>
      <c r="FT4" t="e">
        <f>AND(#REF!,"AAAAAB/7r68=")</f>
        <v>#REF!</v>
      </c>
      <c r="FU4" t="e">
        <f>AND(#REF!,"AAAAAB/7r7A=")</f>
        <v>#REF!</v>
      </c>
      <c r="FV4" t="e">
        <f>AND(#REF!,"AAAAAB/7r7E=")</f>
        <v>#REF!</v>
      </c>
      <c r="FW4" t="e">
        <f>IF(#REF!,"AAAAAB/7r7I=",0)</f>
        <v>#REF!</v>
      </c>
      <c r="FX4" t="e">
        <f>AND(#REF!,"AAAAAB/7r7M=")</f>
        <v>#REF!</v>
      </c>
      <c r="FY4" t="e">
        <f>AND(#REF!,"AAAAAB/7r7Q=")</f>
        <v>#REF!</v>
      </c>
      <c r="FZ4" t="e">
        <f>AND(#REF!,"AAAAAB/7r7U=")</f>
        <v>#REF!</v>
      </c>
      <c r="GA4" t="e">
        <f>AND(#REF!,"AAAAAB/7r7Y=")</f>
        <v>#REF!</v>
      </c>
      <c r="GB4" t="e">
        <f>AND(#REF!,"AAAAAB/7r7c=")</f>
        <v>#REF!</v>
      </c>
      <c r="GC4" t="e">
        <f>AND(#REF!,"AAAAAB/7r7g=")</f>
        <v>#REF!</v>
      </c>
      <c r="GD4" t="e">
        <f>IF(#REF!,"AAAAAB/7r7k=",0)</f>
        <v>#REF!</v>
      </c>
      <c r="GE4" t="e">
        <f>AND(#REF!,"AAAAAB/7r7o=")</f>
        <v>#REF!</v>
      </c>
      <c r="GF4" t="e">
        <f>AND(#REF!,"AAAAAB/7r7s=")</f>
        <v>#REF!</v>
      </c>
      <c r="GG4" t="e">
        <f>AND(#REF!,"AAAAAB/7r7w=")</f>
        <v>#REF!</v>
      </c>
      <c r="GH4" t="e">
        <f>AND(#REF!,"AAAAAB/7r70=")</f>
        <v>#REF!</v>
      </c>
      <c r="GI4" t="e">
        <f>AND(#REF!,"AAAAAB/7r74=")</f>
        <v>#REF!</v>
      </c>
      <c r="GJ4" t="e">
        <f>AND(#REF!,"AAAAAB/7r78=")</f>
        <v>#REF!</v>
      </c>
      <c r="GK4" t="e">
        <f>IF(#REF!,"AAAAAB/7r8A=",0)</f>
        <v>#REF!</v>
      </c>
      <c r="GL4" t="e">
        <f>AND(#REF!,"AAAAAB/7r8E=")</f>
        <v>#REF!</v>
      </c>
      <c r="GM4" t="e">
        <f>AND(#REF!,"AAAAAB/7r8I=")</f>
        <v>#REF!</v>
      </c>
      <c r="GN4" t="e">
        <f>AND(#REF!,"AAAAAB/7r8M=")</f>
        <v>#REF!</v>
      </c>
      <c r="GO4" t="e">
        <f>AND(#REF!,"AAAAAB/7r8Q=")</f>
        <v>#REF!</v>
      </c>
      <c r="GP4" t="e">
        <f>AND(#REF!,"AAAAAB/7r8U=")</f>
        <v>#REF!</v>
      </c>
      <c r="GQ4" t="e">
        <f>AND(#REF!,"AAAAAB/7r8Y=")</f>
        <v>#REF!</v>
      </c>
      <c r="GR4" t="e">
        <f>IF(#REF!,"AAAAAB/7r8c=",0)</f>
        <v>#REF!</v>
      </c>
      <c r="GS4" t="e">
        <f>AND(#REF!,"AAAAAB/7r8g=")</f>
        <v>#REF!</v>
      </c>
      <c r="GT4" t="e">
        <f>AND(#REF!,"AAAAAB/7r8k=")</f>
        <v>#REF!</v>
      </c>
      <c r="GU4" t="e">
        <f>AND(#REF!,"AAAAAB/7r8o=")</f>
        <v>#REF!</v>
      </c>
      <c r="GV4" t="e">
        <f>AND(#REF!,"AAAAAB/7r8s=")</f>
        <v>#REF!</v>
      </c>
      <c r="GW4" t="e">
        <f>AND(#REF!,"AAAAAB/7r8w=")</f>
        <v>#REF!</v>
      </c>
      <c r="GX4" t="e">
        <f>AND(#REF!,"AAAAAB/7r80=")</f>
        <v>#REF!</v>
      </c>
      <c r="GY4" t="e">
        <f>IF(#REF!,"AAAAAB/7r84=",0)</f>
        <v>#REF!</v>
      </c>
      <c r="GZ4" t="e">
        <f>AND(#REF!,"AAAAAB/7r88=")</f>
        <v>#REF!</v>
      </c>
      <c r="HA4" t="e">
        <f>AND(#REF!,"AAAAAB/7r9A=")</f>
        <v>#REF!</v>
      </c>
      <c r="HB4" t="e">
        <f>AND(#REF!,"AAAAAB/7r9E=")</f>
        <v>#REF!</v>
      </c>
      <c r="HC4" t="e">
        <f>AND(#REF!,"AAAAAB/7r9I=")</f>
        <v>#REF!</v>
      </c>
      <c r="HD4" t="e">
        <f>AND(#REF!,"AAAAAB/7r9M=")</f>
        <v>#REF!</v>
      </c>
      <c r="HE4" t="e">
        <f>AND(#REF!,"AAAAAB/7r9Q=")</f>
        <v>#REF!</v>
      </c>
      <c r="HF4" t="e">
        <f>IF(#REF!,"AAAAAB/7r9U=",0)</f>
        <v>#REF!</v>
      </c>
      <c r="HG4" t="e">
        <f>AND(#REF!,"AAAAAB/7r9Y=")</f>
        <v>#REF!</v>
      </c>
      <c r="HH4" t="e">
        <f>AND(#REF!,"AAAAAB/7r9c=")</f>
        <v>#REF!</v>
      </c>
      <c r="HI4" t="e">
        <f>AND(#REF!,"AAAAAB/7r9g=")</f>
        <v>#REF!</v>
      </c>
      <c r="HJ4" t="e">
        <f>AND(#REF!,"AAAAAB/7r9k=")</f>
        <v>#REF!</v>
      </c>
      <c r="HK4" t="e">
        <f>AND(#REF!,"AAAAAB/7r9o=")</f>
        <v>#REF!</v>
      </c>
      <c r="HL4" t="e">
        <f>AND(#REF!,"AAAAAB/7r9s=")</f>
        <v>#REF!</v>
      </c>
      <c r="HM4" t="e">
        <f>IF(#REF!,"AAAAAB/7r9w=",0)</f>
        <v>#REF!</v>
      </c>
      <c r="HN4" t="e">
        <f>AND(#REF!,"AAAAAB/7r90=")</f>
        <v>#REF!</v>
      </c>
      <c r="HO4" t="e">
        <f>AND(#REF!,"AAAAAB/7r94=")</f>
        <v>#REF!</v>
      </c>
      <c r="HP4" t="e">
        <f>AND(#REF!,"AAAAAB/7r98=")</f>
        <v>#REF!</v>
      </c>
      <c r="HQ4" t="e">
        <f>AND(#REF!,"AAAAAB/7r+A=")</f>
        <v>#REF!</v>
      </c>
      <c r="HR4" t="e">
        <f>AND(#REF!,"AAAAAB/7r+E=")</f>
        <v>#REF!</v>
      </c>
      <c r="HS4" t="e">
        <f>AND(#REF!,"AAAAAB/7r+I=")</f>
        <v>#REF!</v>
      </c>
      <c r="HT4" t="e">
        <f>IF(#REF!,"AAAAAB/7r+M=",0)</f>
        <v>#REF!</v>
      </c>
      <c r="HU4" t="e">
        <f>AND(#REF!,"AAAAAB/7r+Q=")</f>
        <v>#REF!</v>
      </c>
      <c r="HV4" t="e">
        <f>AND(#REF!,"AAAAAB/7r+U=")</f>
        <v>#REF!</v>
      </c>
      <c r="HW4" t="e">
        <f>AND(#REF!,"AAAAAB/7r+Y=")</f>
        <v>#REF!</v>
      </c>
      <c r="HX4" t="e">
        <f>AND(#REF!,"AAAAAB/7r+c=")</f>
        <v>#REF!</v>
      </c>
      <c r="HY4" t="e">
        <f>AND(#REF!,"AAAAAB/7r+g=")</f>
        <v>#REF!</v>
      </c>
      <c r="HZ4" t="e">
        <f>AND(#REF!,"AAAAAB/7r+k=")</f>
        <v>#REF!</v>
      </c>
      <c r="IA4" t="e">
        <f>IF(#REF!,"AAAAAB/7r+o=",0)</f>
        <v>#REF!</v>
      </c>
      <c r="IB4" t="e">
        <f>AND(#REF!,"AAAAAB/7r+s=")</f>
        <v>#REF!</v>
      </c>
      <c r="IC4" t="e">
        <f>AND(#REF!,"AAAAAB/7r+w=")</f>
        <v>#REF!</v>
      </c>
      <c r="ID4" t="e">
        <f>AND(#REF!,"AAAAAB/7r+0=")</f>
        <v>#REF!</v>
      </c>
      <c r="IE4" t="e">
        <f>AND(#REF!,"AAAAAB/7r+4=")</f>
        <v>#REF!</v>
      </c>
      <c r="IF4" t="e">
        <f>AND(#REF!,"AAAAAB/7r+8=")</f>
        <v>#REF!</v>
      </c>
      <c r="IG4" t="e">
        <f>AND(#REF!,"AAAAAB/7r/A=")</f>
        <v>#REF!</v>
      </c>
      <c r="IH4" t="e">
        <f>IF(#REF!,"AAAAAB/7r/E=",0)</f>
        <v>#REF!</v>
      </c>
      <c r="II4" t="e">
        <f>AND(#REF!,"AAAAAB/7r/I=")</f>
        <v>#REF!</v>
      </c>
      <c r="IJ4" t="e">
        <f>AND(#REF!,"AAAAAB/7r/M=")</f>
        <v>#REF!</v>
      </c>
      <c r="IK4" t="e">
        <f>AND(#REF!,"AAAAAB/7r/Q=")</f>
        <v>#REF!</v>
      </c>
      <c r="IL4" t="e">
        <f>AND(#REF!,"AAAAAB/7r/U=")</f>
        <v>#REF!</v>
      </c>
      <c r="IM4" t="e">
        <f>AND(#REF!,"AAAAAB/7r/Y=")</f>
        <v>#REF!</v>
      </c>
      <c r="IN4" t="e">
        <f>AND(#REF!,"AAAAAB/7r/c=")</f>
        <v>#REF!</v>
      </c>
      <c r="IO4" t="e">
        <f>IF(#REF!,"AAAAAB/7r/g=",0)</f>
        <v>#REF!</v>
      </c>
      <c r="IP4" t="e">
        <f>IF(#REF!,"AAAAAB/7r/k=",0)</f>
        <v>#REF!</v>
      </c>
      <c r="IQ4" t="e">
        <f>IF(#REF!,"AAAAAB/7r/o=",0)</f>
        <v>#REF!</v>
      </c>
      <c r="IR4" t="e">
        <f>IF(#REF!,"AAAAAB/7r/s=",0)</f>
        <v>#REF!</v>
      </c>
      <c r="IS4" t="e">
        <f>IF(#REF!,"AAAAAB/7r/w=",0)</f>
        <v>#REF!</v>
      </c>
      <c r="IT4" t="e">
        <f>IF(#REF!,"AAAAAB/7r/0=",0)</f>
        <v>#REF!</v>
      </c>
      <c r="IU4" t="e">
        <f>IF(#REF!,"AAAAAB/7r/4=",0)</f>
        <v>#REF!</v>
      </c>
      <c r="IV4" t="e">
        <f>IF(#REF!,"AAAAAB/7r/8=",0)</f>
        <v>#REF!</v>
      </c>
    </row>
    <row r="5" spans="1:175" ht="14.25">
      <c r="A5" t="e">
        <f>IF(#REF!,"AAAAAHf5XQA=",0)</f>
        <v>#REF!</v>
      </c>
      <c r="B5" t="e">
        <f>IF(#REF!,"AAAAAHf5XQE=",0)</f>
        <v>#REF!</v>
      </c>
      <c r="C5" t="e">
        <f>IF(#REF!,"AAAAAHf5XQI=",0)</f>
        <v>#REF!</v>
      </c>
      <c r="D5" t="e">
        <f>IF(#REF!,"AAAAAHf5XQM=",0)</f>
        <v>#REF!</v>
      </c>
      <c r="E5" t="e">
        <f>IF(#REF!,"AAAAAHf5XQQ=",0)</f>
        <v>#REF!</v>
      </c>
      <c r="F5" t="e">
        <f>IF(#REF!,"AAAAAHf5XQU=",0)</f>
        <v>#REF!</v>
      </c>
      <c r="G5" t="e">
        <f>IF(#REF!,"AAAAAHf5XQY=",0)</f>
        <v>#REF!</v>
      </c>
      <c r="H5" t="e">
        <f>IF(#REF!,"AAAAAHf5XQc=",0)</f>
        <v>#REF!</v>
      </c>
      <c r="I5" t="e">
        <f>IF(#REF!,"AAAAAHf5XQg=",0)</f>
        <v>#REF!</v>
      </c>
      <c r="J5" t="e">
        <f>AND(#REF!,"AAAAAHf5XQk=")</f>
        <v>#REF!</v>
      </c>
      <c r="K5" t="e">
        <f>AND(#REF!,"AAAAAHf5XQo=")</f>
        <v>#REF!</v>
      </c>
      <c r="L5" t="e">
        <f>AND(#REF!,"AAAAAHf5XQs=")</f>
        <v>#REF!</v>
      </c>
      <c r="M5" t="e">
        <f>AND(#REF!,"AAAAAHf5XQw=")</f>
        <v>#REF!</v>
      </c>
      <c r="N5" t="e">
        <f>AND(#REF!,"AAAAAHf5XQ0=")</f>
        <v>#REF!</v>
      </c>
      <c r="O5" t="e">
        <f>AND(#REF!,"AAAAAHf5XQ4=")</f>
        <v>#REF!</v>
      </c>
      <c r="P5" t="e">
        <f>IF(#REF!,"AAAAAHf5XQ8=",0)</f>
        <v>#REF!</v>
      </c>
      <c r="Q5" t="e">
        <f>AND(#REF!,"AAAAAHf5XRA=")</f>
        <v>#REF!</v>
      </c>
      <c r="R5" t="e">
        <f>AND(#REF!,"AAAAAHf5XRE=")</f>
        <v>#REF!</v>
      </c>
      <c r="S5" t="e">
        <f>AND(#REF!,"AAAAAHf5XRI=")</f>
        <v>#REF!</v>
      </c>
      <c r="T5" t="e">
        <f>AND(#REF!,"AAAAAHf5XRM=")</f>
        <v>#REF!</v>
      </c>
      <c r="U5" t="e">
        <f>AND(#REF!,"AAAAAHf5XRQ=")</f>
        <v>#REF!</v>
      </c>
      <c r="V5" t="e">
        <f>AND(#REF!,"AAAAAHf5XRU=")</f>
        <v>#REF!</v>
      </c>
      <c r="W5" t="e">
        <f>IF(#REF!,"AAAAAHf5XRY=",0)</f>
        <v>#REF!</v>
      </c>
      <c r="X5" t="e">
        <f>AND(#REF!,"AAAAAHf5XRc=")</f>
        <v>#REF!</v>
      </c>
      <c r="Y5" t="e">
        <f>AND(#REF!,"AAAAAHf5XRg=")</f>
        <v>#REF!</v>
      </c>
      <c r="Z5" t="e">
        <f>AND(#REF!,"AAAAAHf5XRk=")</f>
        <v>#REF!</v>
      </c>
      <c r="AA5" t="e">
        <f>AND(#REF!,"AAAAAHf5XRo=")</f>
        <v>#REF!</v>
      </c>
      <c r="AB5" t="e">
        <f>AND(#REF!,"AAAAAHf5XRs=")</f>
        <v>#REF!</v>
      </c>
      <c r="AC5" t="e">
        <f>AND(#REF!,"AAAAAHf5XRw=")</f>
        <v>#REF!</v>
      </c>
      <c r="AD5" t="e">
        <f>IF(#REF!,"AAAAAHf5XR0=",0)</f>
        <v>#REF!</v>
      </c>
      <c r="AE5" t="e">
        <f>AND(#REF!,"AAAAAHf5XR4=")</f>
        <v>#REF!</v>
      </c>
      <c r="AF5" t="e">
        <f>AND(#REF!,"AAAAAHf5XR8=")</f>
        <v>#REF!</v>
      </c>
      <c r="AG5" t="e">
        <f>AND(#REF!,"AAAAAHf5XSA=")</f>
        <v>#REF!</v>
      </c>
      <c r="AH5" t="e">
        <f>AND(#REF!,"AAAAAHf5XSE=")</f>
        <v>#REF!</v>
      </c>
      <c r="AI5" t="e">
        <f>AND(#REF!,"AAAAAHf5XSI=")</f>
        <v>#REF!</v>
      </c>
      <c r="AJ5" t="e">
        <f>AND(#REF!,"AAAAAHf5XSM=")</f>
        <v>#REF!</v>
      </c>
      <c r="AK5" t="e">
        <f>IF(#REF!,"AAAAAHf5XSQ=",0)</f>
        <v>#REF!</v>
      </c>
      <c r="AL5" t="e">
        <f>AND(#REF!,"AAAAAHf5XSU=")</f>
        <v>#REF!</v>
      </c>
      <c r="AM5" t="e">
        <f>AND(#REF!,"AAAAAHf5XSY=")</f>
        <v>#REF!</v>
      </c>
      <c r="AN5" t="e">
        <f>AND(#REF!,"AAAAAHf5XSc=")</f>
        <v>#REF!</v>
      </c>
      <c r="AO5" t="e">
        <f>AND(#REF!,"AAAAAHf5XSg=")</f>
        <v>#REF!</v>
      </c>
      <c r="AP5" t="e">
        <f>AND(#REF!,"AAAAAHf5XSk=")</f>
        <v>#REF!</v>
      </c>
      <c r="AQ5" t="e">
        <f>AND(#REF!,"AAAAAHf5XSo=")</f>
        <v>#REF!</v>
      </c>
      <c r="AR5" t="e">
        <f>IF(#REF!,"AAAAAHf5XSs=",0)</f>
        <v>#REF!</v>
      </c>
      <c r="AS5" t="e">
        <f>AND(#REF!,"AAAAAHf5XSw=")</f>
        <v>#REF!</v>
      </c>
      <c r="AT5" t="e">
        <f>AND(#REF!,"AAAAAHf5XS0=")</f>
        <v>#REF!</v>
      </c>
      <c r="AU5" t="e">
        <f>AND(#REF!,"AAAAAHf5XS4=")</f>
        <v>#REF!</v>
      </c>
      <c r="AV5" t="e">
        <f>AND(#REF!,"AAAAAHf5XS8=")</f>
        <v>#REF!</v>
      </c>
      <c r="AW5" t="e">
        <f>AND(#REF!,"AAAAAHf5XTA=")</f>
        <v>#REF!</v>
      </c>
      <c r="AX5" t="e">
        <f>AND(#REF!,"AAAAAHf5XTE=")</f>
        <v>#REF!</v>
      </c>
      <c r="AY5" t="e">
        <f>IF(#REF!,"AAAAAHf5XTI=",0)</f>
        <v>#REF!</v>
      </c>
      <c r="AZ5" t="e">
        <f>AND(#REF!,"AAAAAHf5XTM=")</f>
        <v>#REF!</v>
      </c>
      <c r="BA5" t="e">
        <f>AND(#REF!,"AAAAAHf5XTQ=")</f>
        <v>#REF!</v>
      </c>
      <c r="BB5" t="e">
        <f>AND(#REF!,"AAAAAHf5XTU=")</f>
        <v>#REF!</v>
      </c>
      <c r="BC5" t="e">
        <f>AND(#REF!,"AAAAAHf5XTY=")</f>
        <v>#REF!</v>
      </c>
      <c r="BD5" t="e">
        <f>AND(#REF!,"AAAAAHf5XTc=")</f>
        <v>#REF!</v>
      </c>
      <c r="BE5" t="e">
        <f>AND(#REF!,"AAAAAHf5XTg=")</f>
        <v>#REF!</v>
      </c>
      <c r="BF5" t="e">
        <f>IF(#REF!,"AAAAAHf5XTk=",0)</f>
        <v>#REF!</v>
      </c>
      <c r="BG5" t="e">
        <f>AND(#REF!,"AAAAAHf5XTo=")</f>
        <v>#REF!</v>
      </c>
      <c r="BH5" t="e">
        <f>AND(#REF!,"AAAAAHf5XTs=")</f>
        <v>#REF!</v>
      </c>
      <c r="BI5" t="e">
        <f>AND(#REF!,"AAAAAHf5XTw=")</f>
        <v>#REF!</v>
      </c>
      <c r="BJ5" t="e">
        <f>AND(#REF!,"AAAAAHf5XT0=")</f>
        <v>#REF!</v>
      </c>
      <c r="BK5" t="e">
        <f>AND(#REF!,"AAAAAHf5XT4=")</f>
        <v>#REF!</v>
      </c>
      <c r="BL5" t="e">
        <f>AND(#REF!,"AAAAAHf5XT8=")</f>
        <v>#REF!</v>
      </c>
      <c r="BM5" t="e">
        <f>IF(#REF!,"AAAAAHf5XUA=",0)</f>
        <v>#REF!</v>
      </c>
      <c r="BN5" t="e">
        <f>AND(#REF!,"AAAAAHf5XUE=")</f>
        <v>#REF!</v>
      </c>
      <c r="BO5" t="e">
        <f>AND(#REF!,"AAAAAHf5XUI=")</f>
        <v>#REF!</v>
      </c>
      <c r="BP5" t="e">
        <f>AND(#REF!,"AAAAAHf5XUM=")</f>
        <v>#REF!</v>
      </c>
      <c r="BQ5" t="e">
        <f>AND(#REF!,"AAAAAHf5XUQ=")</f>
        <v>#REF!</v>
      </c>
      <c r="BR5" t="e">
        <f>AND(#REF!,"AAAAAHf5XUU=")</f>
        <v>#REF!</v>
      </c>
      <c r="BS5" t="e">
        <f>AND(#REF!,"AAAAAHf5XUY=")</f>
        <v>#REF!</v>
      </c>
      <c r="BT5" t="e">
        <f>IF(#REF!,"AAAAAHf5XUc=",0)</f>
        <v>#REF!</v>
      </c>
      <c r="BU5" t="e">
        <f>AND(#REF!,"AAAAAHf5XUg=")</f>
        <v>#REF!</v>
      </c>
      <c r="BV5" t="e">
        <f>AND(#REF!,"AAAAAHf5XUk=")</f>
        <v>#REF!</v>
      </c>
      <c r="BW5" t="e">
        <f>AND(#REF!,"AAAAAHf5XUo=")</f>
        <v>#REF!</v>
      </c>
      <c r="BX5" t="e">
        <f>AND(#REF!,"AAAAAHf5XUs=")</f>
        <v>#REF!</v>
      </c>
      <c r="BY5" t="e">
        <f>AND(#REF!,"AAAAAHf5XUw=")</f>
        <v>#REF!</v>
      </c>
      <c r="BZ5" t="e">
        <f>AND(#REF!,"AAAAAHf5XU0=")</f>
        <v>#REF!</v>
      </c>
      <c r="CA5" t="e">
        <f>IF(#REF!,"AAAAAHf5XU4=",0)</f>
        <v>#REF!</v>
      </c>
      <c r="CB5" t="e">
        <f>AND(#REF!,"AAAAAHf5XU8=")</f>
        <v>#REF!</v>
      </c>
      <c r="CC5" t="e">
        <f>AND(#REF!,"AAAAAHf5XVA=")</f>
        <v>#REF!</v>
      </c>
      <c r="CD5" t="e">
        <f>AND(#REF!,"AAAAAHf5XVE=")</f>
        <v>#REF!</v>
      </c>
      <c r="CE5" t="e">
        <f>AND(#REF!,"AAAAAHf5XVI=")</f>
        <v>#REF!</v>
      </c>
      <c r="CF5" t="e">
        <f>AND(#REF!,"AAAAAHf5XVM=")</f>
        <v>#REF!</v>
      </c>
      <c r="CG5" t="e">
        <f>AND(#REF!,"AAAAAHf5XVQ=")</f>
        <v>#REF!</v>
      </c>
      <c r="CH5" t="e">
        <f>IF(#REF!,"AAAAAHf5XVU=",0)</f>
        <v>#REF!</v>
      </c>
      <c r="CI5" t="e">
        <f>AND(#REF!,"AAAAAHf5XVY=")</f>
        <v>#REF!</v>
      </c>
      <c r="CJ5" t="e">
        <f>AND(#REF!,"AAAAAHf5XVc=")</f>
        <v>#REF!</v>
      </c>
      <c r="CK5" t="e">
        <f>AND(#REF!,"AAAAAHf5XVg=")</f>
        <v>#REF!</v>
      </c>
      <c r="CL5" t="e">
        <f>AND(#REF!,"AAAAAHf5XVk=")</f>
        <v>#REF!</v>
      </c>
      <c r="CM5" t="e">
        <f>AND(#REF!,"AAAAAHf5XVo=")</f>
        <v>#REF!</v>
      </c>
      <c r="CN5" t="e">
        <f>AND(#REF!,"AAAAAHf5XVs=")</f>
        <v>#REF!</v>
      </c>
      <c r="CO5" t="e">
        <f>IF(#REF!,"AAAAAHf5XVw=",0)</f>
        <v>#REF!</v>
      </c>
      <c r="CP5" t="e">
        <f>AND(#REF!,"AAAAAHf5XV0=")</f>
        <v>#REF!</v>
      </c>
      <c r="CQ5" t="e">
        <f>AND(#REF!,"AAAAAHf5XV4=")</f>
        <v>#REF!</v>
      </c>
      <c r="CR5" t="e">
        <f>AND(#REF!,"AAAAAHf5XV8=")</f>
        <v>#REF!</v>
      </c>
      <c r="CS5" t="e">
        <f>AND(#REF!,"AAAAAHf5XWA=")</f>
        <v>#REF!</v>
      </c>
      <c r="CT5" t="e">
        <f>AND(#REF!,"AAAAAHf5XWE=")</f>
        <v>#REF!</v>
      </c>
      <c r="CU5" t="e">
        <f>AND(#REF!,"AAAAAHf5XWI=")</f>
        <v>#REF!</v>
      </c>
      <c r="CV5" t="e">
        <f>IF(#REF!,"AAAAAHf5XWM=",0)</f>
        <v>#REF!</v>
      </c>
      <c r="CW5" t="e">
        <f>AND(#REF!,"AAAAAHf5XWQ=")</f>
        <v>#REF!</v>
      </c>
      <c r="CX5" t="e">
        <f>AND(#REF!,"AAAAAHf5XWU=")</f>
        <v>#REF!</v>
      </c>
      <c r="CY5" t="e">
        <f>AND(#REF!,"AAAAAHf5XWY=")</f>
        <v>#REF!</v>
      </c>
      <c r="CZ5" t="e">
        <f>AND(#REF!,"AAAAAHf5XWc=")</f>
        <v>#REF!</v>
      </c>
      <c r="DA5" t="e">
        <f>AND(#REF!,"AAAAAHf5XWg=")</f>
        <v>#REF!</v>
      </c>
      <c r="DB5" t="e">
        <f>AND(#REF!,"AAAAAHf5XWk=")</f>
        <v>#REF!</v>
      </c>
      <c r="DC5" t="e">
        <f>IF(#REF!,"AAAAAHf5XWo=",0)</f>
        <v>#REF!</v>
      </c>
      <c r="DD5" t="e">
        <f>AND(#REF!,"AAAAAHf5XWs=")</f>
        <v>#REF!</v>
      </c>
      <c r="DE5" t="e">
        <f>AND(#REF!,"AAAAAHf5XWw=")</f>
        <v>#REF!</v>
      </c>
      <c r="DF5" t="e">
        <f>AND(#REF!,"AAAAAHf5XW0=")</f>
        <v>#REF!</v>
      </c>
      <c r="DG5" t="e">
        <f>AND(#REF!,"AAAAAHf5XW4=")</f>
        <v>#REF!</v>
      </c>
      <c r="DH5" t="e">
        <f>AND(#REF!,"AAAAAHf5XW8=")</f>
        <v>#REF!</v>
      </c>
      <c r="DI5" t="e">
        <f>AND(#REF!,"AAAAAHf5XXA=")</f>
        <v>#REF!</v>
      </c>
      <c r="DJ5" t="e">
        <f>IF(#REF!,"AAAAAHf5XXE=",0)</f>
        <v>#REF!</v>
      </c>
      <c r="DK5" t="e">
        <f>AND(#REF!,"AAAAAHf5XXI=")</f>
        <v>#REF!</v>
      </c>
      <c r="DL5" t="e">
        <f>AND(#REF!,"AAAAAHf5XXM=")</f>
        <v>#REF!</v>
      </c>
      <c r="DM5" t="e">
        <f>AND(#REF!,"AAAAAHf5XXQ=")</f>
        <v>#REF!</v>
      </c>
      <c r="DN5" t="e">
        <f>AND(#REF!,"AAAAAHf5XXU=")</f>
        <v>#REF!</v>
      </c>
      <c r="DO5" t="e">
        <f>AND(#REF!,"AAAAAHf5XXY=")</f>
        <v>#REF!</v>
      </c>
      <c r="DP5" t="e">
        <f>AND(#REF!,"AAAAAHf5XXc=")</f>
        <v>#REF!</v>
      </c>
      <c r="DQ5" t="e">
        <f>IF(#REF!,"AAAAAHf5XXg=",0)</f>
        <v>#REF!</v>
      </c>
      <c r="DR5" t="e">
        <f>AND(#REF!,"AAAAAHf5XXk=")</f>
        <v>#REF!</v>
      </c>
      <c r="DS5" t="e">
        <f>AND(#REF!,"AAAAAHf5XXo=")</f>
        <v>#REF!</v>
      </c>
      <c r="DT5" t="e">
        <f>AND(#REF!,"AAAAAHf5XXs=")</f>
        <v>#REF!</v>
      </c>
      <c r="DU5" t="e">
        <f>AND(#REF!,"AAAAAHf5XXw=")</f>
        <v>#REF!</v>
      </c>
      <c r="DV5" t="e">
        <f>AND(#REF!,"AAAAAHf5XX0=")</f>
        <v>#REF!</v>
      </c>
      <c r="DW5" t="e">
        <f>AND(#REF!,"AAAAAHf5XX4=")</f>
        <v>#REF!</v>
      </c>
      <c r="DX5" t="e">
        <f>IF(#REF!,"AAAAAHf5XX8=",0)</f>
        <v>#REF!</v>
      </c>
      <c r="DY5" t="e">
        <f>AND(#REF!,"AAAAAHf5XYA=")</f>
        <v>#REF!</v>
      </c>
      <c r="DZ5" t="e">
        <f>AND(#REF!,"AAAAAHf5XYE=")</f>
        <v>#REF!</v>
      </c>
      <c r="EA5" t="e">
        <f>AND(#REF!,"AAAAAHf5XYI=")</f>
        <v>#REF!</v>
      </c>
      <c r="EB5" t="e">
        <f>AND(#REF!,"AAAAAHf5XYM=")</f>
        <v>#REF!</v>
      </c>
      <c r="EC5" t="e">
        <f>AND(#REF!,"AAAAAHf5XYQ=")</f>
        <v>#REF!</v>
      </c>
      <c r="ED5" t="e">
        <f>AND(#REF!,"AAAAAHf5XYU=")</f>
        <v>#REF!</v>
      </c>
      <c r="EE5" t="e">
        <f>IF(#REF!,"AAAAAHf5XYY=",0)</f>
        <v>#REF!</v>
      </c>
      <c r="EF5" t="e">
        <f>AND(#REF!,"AAAAAHf5XYc=")</f>
        <v>#REF!</v>
      </c>
      <c r="EG5" t="e">
        <f>AND(#REF!,"AAAAAHf5XYg=")</f>
        <v>#REF!</v>
      </c>
      <c r="EH5" t="e">
        <f>AND(#REF!,"AAAAAHf5XYk=")</f>
        <v>#REF!</v>
      </c>
      <c r="EI5" t="e">
        <f>AND(#REF!,"AAAAAHf5XYo=")</f>
        <v>#REF!</v>
      </c>
      <c r="EJ5" t="e">
        <f>AND(#REF!,"AAAAAHf5XYs=")</f>
        <v>#REF!</v>
      </c>
      <c r="EK5" t="e">
        <f>AND(#REF!,"AAAAAHf5XYw=")</f>
        <v>#REF!</v>
      </c>
      <c r="EL5" t="e">
        <f>IF(#REF!,"AAAAAHf5XY0=",0)</f>
        <v>#REF!</v>
      </c>
      <c r="EM5" t="e">
        <f>AND(#REF!,"AAAAAHf5XY4=")</f>
        <v>#REF!</v>
      </c>
      <c r="EN5" t="e">
        <f>AND(#REF!,"AAAAAHf5XY8=")</f>
        <v>#REF!</v>
      </c>
      <c r="EO5" t="e">
        <f>AND(#REF!,"AAAAAHf5XZA=")</f>
        <v>#REF!</v>
      </c>
      <c r="EP5" t="e">
        <f>AND(#REF!,"AAAAAHf5XZE=")</f>
        <v>#REF!</v>
      </c>
      <c r="EQ5" t="e">
        <f>AND(#REF!,"AAAAAHf5XZI=")</f>
        <v>#REF!</v>
      </c>
      <c r="ER5" t="e">
        <f>AND(#REF!,"AAAAAHf5XZM=")</f>
        <v>#REF!</v>
      </c>
      <c r="ES5" t="e">
        <f>IF(#REF!,"AAAAAHf5XZQ=",0)</f>
        <v>#REF!</v>
      </c>
      <c r="ET5" t="e">
        <f>IF(#REF!,"AAAAAHf5XZU=",0)</f>
        <v>#REF!</v>
      </c>
      <c r="EU5" t="e">
        <f>IF(#REF!,"AAAAAHf5XZY=",0)</f>
        <v>#REF!</v>
      </c>
      <c r="EV5" t="e">
        <f>IF(#REF!,"AAAAAHf5XZc=",0)</f>
        <v>#REF!</v>
      </c>
      <c r="EW5" t="e">
        <f>IF(#REF!,"AAAAAHf5XZg=",0)</f>
        <v>#REF!</v>
      </c>
      <c r="EX5" t="e">
        <f>IF(#REF!,"AAAAAHf5XZk=",0)</f>
        <v>#REF!</v>
      </c>
      <c r="EY5" t="e">
        <f>IF(#REF!,"AAAAAHf5XZo=",0)</f>
        <v>#REF!</v>
      </c>
      <c r="EZ5" t="e">
        <f>IF(#REF!,"AAAAAHf5XZs=",0)</f>
        <v>#REF!</v>
      </c>
      <c r="FA5" t="e">
        <f>IF(#REF!,"AAAAAHf5XZw=",0)</f>
        <v>#REF!</v>
      </c>
      <c r="FB5" t="e">
        <f>IF(#REF!,"AAAAAHf5XZ0=",0)</f>
        <v>#REF!</v>
      </c>
      <c r="FC5" t="e">
        <f>IF(#REF!,"AAAAAHf5XZ4=",0)</f>
        <v>#REF!</v>
      </c>
      <c r="FD5" t="e">
        <f>IF(#REF!,"AAAAAHf5XZ8=",0)</f>
        <v>#REF!</v>
      </c>
      <c r="FE5" t="e">
        <f>IF(#REF!,"AAAAAHf5XaA=",0)</f>
        <v>#REF!</v>
      </c>
      <c r="FF5" t="e">
        <f>IF(#REF!,"AAAAAHf5XaE=",0)</f>
        <v>#REF!</v>
      </c>
      <c r="FG5" t="e">
        <f>IF(#REF!,"AAAAAHf5XaI=",0)</f>
        <v>#REF!</v>
      </c>
      <c r="FH5" t="e">
        <f>IF(#REF!,"AAAAAHf5XaM=",0)</f>
        <v>#REF!</v>
      </c>
      <c r="FI5" t="e">
        <f>IF(#REF!,"AAAAAHf5XaQ=",0)</f>
        <v>#REF!</v>
      </c>
      <c r="FJ5" t="e">
        <f>IF(#REF!,"AAAAAHf5XaU=",0)</f>
        <v>#REF!</v>
      </c>
      <c r="FK5" t="e">
        <f>IF(#REF!,"AAAAAHf5XaY=",0)</f>
        <v>#REF!</v>
      </c>
      <c r="FL5" t="e">
        <f>IF(#REF!,"AAAAAHf5Xac=",0)</f>
        <v>#REF!</v>
      </c>
      <c r="FM5" t="e">
        <f>AND(#REF!,"AAAAAHf5Xag=")</f>
        <v>#REF!</v>
      </c>
      <c r="FN5" t="e">
        <f>IF(#REF!,"AAAAAHf5Xak=",0)</f>
        <v>#REF!</v>
      </c>
      <c r="FO5" t="e">
        <f>IF(#REF!,"AAAAAHf5Xao=",0)</f>
        <v>#REF!</v>
      </c>
      <c r="FP5" t="e">
        <f>AND(#REF!,"AAAAAHf5Xas=")</f>
        <v>#REF!</v>
      </c>
      <c r="FQ5" t="e">
        <f>IF(#REF!,"AAAAAHf5Xaw=",0)</f>
        <v>#REF!</v>
      </c>
      <c r="FR5" t="s">
        <v>53</v>
      </c>
      <c r="FS5" t="e">
        <f>IF("N",'Sub Process สารสนเทศ'!PRINT_TITLES,"AAAAAHf5Xa4=")</f>
        <v>#VALUE!</v>
      </c>
    </row>
    <row r="6" spans="1:18" ht="14.25">
      <c r="A6">
        <f>IF('Sub Process สารสนเทศ'!16:16,"AAAAAG/t/wA=",0)</f>
        <v>0</v>
      </c>
      <c r="B6" t="e">
        <f>AND('Sub Process สารสนเทศ'!A16,"AAAAAG/t/wE=")</f>
        <v>#VALUE!</v>
      </c>
      <c r="C6" t="e">
        <f>AND('Sub Process สารสนเทศ'!B16,"AAAAAG/t/wI=")</f>
        <v>#VALUE!</v>
      </c>
      <c r="D6" t="e">
        <f>AND('Sub Process สารสนเทศ'!C16,"AAAAAG/t/wM=")</f>
        <v>#VALUE!</v>
      </c>
      <c r="E6" t="e">
        <f>AND('Sub Process สารสนเทศ'!D16,"AAAAAG/t/wQ=")</f>
        <v>#VALUE!</v>
      </c>
      <c r="F6" t="e">
        <f>AND('Sub Process สารสนเทศ'!E16,"AAAAAG/t/wU=")</f>
        <v>#VALUE!</v>
      </c>
      <c r="G6">
        <f>IF('Sub Process สารสนเทศ'!17:17,"AAAAAG/t/wY=",0)</f>
        <v>0</v>
      </c>
      <c r="H6" t="e">
        <f>AND('Sub Process สารสนเทศ'!A17,"AAAAAG/t/wc=")</f>
        <v>#VALUE!</v>
      </c>
      <c r="I6" t="e">
        <f>AND('Sub Process สารสนเทศ'!B17,"AAAAAG/t/wg=")</f>
        <v>#VALUE!</v>
      </c>
      <c r="J6" t="e">
        <f>AND('Sub Process สารสนเทศ'!C17,"AAAAAG/t/wk=")</f>
        <v>#VALUE!</v>
      </c>
      <c r="K6" t="e">
        <f>AND('Sub Process สารสนเทศ'!D17,"AAAAAG/t/wo=")</f>
        <v>#VALUE!</v>
      </c>
      <c r="L6" t="e">
        <f>AND('Sub Process สารสนเทศ'!E17,"AAAAAG/t/ws=")</f>
        <v>#VALUE!</v>
      </c>
      <c r="M6">
        <f>IF('Sub Process สารสนเทศ'!23:23,"AAAAAG/t/ww=",0)</f>
        <v>0</v>
      </c>
      <c r="N6" t="e">
        <f>AND('Sub Process สารสนเทศ'!A23,"AAAAAG/t/w0=")</f>
        <v>#VALUE!</v>
      </c>
      <c r="O6" t="e">
        <f>AND('Sub Process สารสนเทศ'!B23,"AAAAAG/t/w4=")</f>
        <v>#VALUE!</v>
      </c>
      <c r="P6" t="e">
        <f>AND('Sub Process สารสนเทศ'!C23,"AAAAAG/t/w8=")</f>
        <v>#VALUE!</v>
      </c>
      <c r="Q6" t="e">
        <f>AND('Sub Process สารสนเทศ'!D23,"AAAAAG/t/xA=")</f>
        <v>#VALUE!</v>
      </c>
      <c r="R6" t="e">
        <f>AND('Sub Process สารสนเทศ'!E23,"AAAAAG/t/xE=")</f>
        <v>#VALUE!</v>
      </c>
    </row>
    <row r="7" spans="1:256" ht="14.25">
      <c r="A7" t="e">
        <f>IF('3.SIPOC ฮาร์ดแวร์'!1:1,"AAAAAEfncQA=",0)</f>
        <v>#VALUE!</v>
      </c>
      <c r="B7" t="e">
        <f>AND('3.SIPOC ฮาร์ดแวร์'!A1,"AAAAAEfncQE=")</f>
        <v>#VALUE!</v>
      </c>
      <c r="C7" t="e">
        <f>AND('3.SIPOC ฮาร์ดแวร์'!B1,"AAAAAEfncQI=")</f>
        <v>#VALUE!</v>
      </c>
      <c r="D7" t="e">
        <f>AND('3.SIPOC ฮาร์ดแวร์'!C1,"AAAAAEfncQM=")</f>
        <v>#VALUE!</v>
      </c>
      <c r="E7" t="e">
        <f>AND('3.SIPOC ฮาร์ดแวร์'!D1,"AAAAAEfncQQ=")</f>
        <v>#VALUE!</v>
      </c>
      <c r="F7" t="e">
        <f>AND('3.SIPOC ฮาร์ดแวร์'!E1,"AAAAAEfncQU=")</f>
        <v>#VALUE!</v>
      </c>
      <c r="G7" t="e">
        <f>AND('3.SIPOC ฮาร์ดแวร์'!F1,"AAAAAEfncQY=")</f>
        <v>#VALUE!</v>
      </c>
      <c r="H7">
        <f>IF('3.SIPOC ฮาร์ดแวร์'!2:2,"AAAAAEfncQc=",0)</f>
        <v>0</v>
      </c>
      <c r="I7" t="e">
        <f>AND('3.SIPOC ฮาร์ดแวร์'!A2,"AAAAAEfncQg=")</f>
        <v>#VALUE!</v>
      </c>
      <c r="J7" t="e">
        <f>AND('3.SIPOC ฮาร์ดแวร์'!B2,"AAAAAEfncQk=")</f>
        <v>#VALUE!</v>
      </c>
      <c r="K7" t="e">
        <f>AND('3.SIPOC ฮาร์ดแวร์'!C2,"AAAAAEfncQo=")</f>
        <v>#VALUE!</v>
      </c>
      <c r="L7" t="e">
        <f>AND('3.SIPOC ฮาร์ดแวร์'!D2,"AAAAAEfncQs=")</f>
        <v>#VALUE!</v>
      </c>
      <c r="M7" t="e">
        <f>AND('3.SIPOC ฮาร์ดแวร์'!E2,"AAAAAEfncQw=")</f>
        <v>#VALUE!</v>
      </c>
      <c r="N7" t="e">
        <f>AND('3.SIPOC ฮาร์ดแวร์'!F2,"AAAAAEfncQ0=")</f>
        <v>#VALUE!</v>
      </c>
      <c r="O7">
        <f>IF('3.SIPOC ฮาร์ดแวร์'!3:3,"AAAAAEfncQ4=",0)</f>
        <v>0</v>
      </c>
      <c r="P7" t="e">
        <f>AND('3.SIPOC ฮาร์ดแวร์'!A3,"AAAAAEfncQ8=")</f>
        <v>#VALUE!</v>
      </c>
      <c r="Q7" t="e">
        <f>AND('3.SIPOC ฮาร์ดแวร์'!B3,"AAAAAEfncRA=")</f>
        <v>#VALUE!</v>
      </c>
      <c r="R7" t="e">
        <f>AND('3.SIPOC ฮาร์ดแวร์'!C3,"AAAAAEfncRE=")</f>
        <v>#VALUE!</v>
      </c>
      <c r="S7" t="e">
        <f>AND('3.SIPOC ฮาร์ดแวร์'!D3,"AAAAAEfncRI=")</f>
        <v>#VALUE!</v>
      </c>
      <c r="T7" t="e">
        <f>AND('3.SIPOC ฮาร์ดแวร์'!E3,"AAAAAEfncRM=")</f>
        <v>#VALUE!</v>
      </c>
      <c r="U7" t="e">
        <f>AND('3.SIPOC ฮาร์ดแวร์'!F3,"AAAAAEfncRQ=")</f>
        <v>#VALUE!</v>
      </c>
      <c r="V7">
        <f>IF('3.SIPOC ฮาร์ดแวร์'!4:4,"AAAAAEfncRU=",0)</f>
        <v>0</v>
      </c>
      <c r="W7" t="e">
        <f>AND('3.SIPOC ฮาร์ดแวร์'!A4,"AAAAAEfncRY=")</f>
        <v>#VALUE!</v>
      </c>
      <c r="X7" t="e">
        <f>AND('3.SIPOC ฮาร์ดแวร์'!B4,"AAAAAEfncRc=")</f>
        <v>#VALUE!</v>
      </c>
      <c r="Y7" t="e">
        <f>AND('3.SIPOC ฮาร์ดแวร์'!C4,"AAAAAEfncRg=")</f>
        <v>#VALUE!</v>
      </c>
      <c r="Z7" t="e">
        <f>AND('3.SIPOC ฮาร์ดแวร์'!D4,"AAAAAEfncRk=")</f>
        <v>#VALUE!</v>
      </c>
      <c r="AA7" t="e">
        <f>AND('3.SIPOC ฮาร์ดแวร์'!E4,"AAAAAEfncRo=")</f>
        <v>#VALUE!</v>
      </c>
      <c r="AB7" t="e">
        <f>AND('3.SIPOC ฮาร์ดแวร์'!F4,"AAAAAEfncRs=")</f>
        <v>#VALUE!</v>
      </c>
      <c r="AC7">
        <f>IF('3.SIPOC ฮาร์ดแวร์'!5:5,"AAAAAEfncRw=",0)</f>
        <v>0</v>
      </c>
      <c r="AD7" t="e">
        <f>AND('3.SIPOC ฮาร์ดแวร์'!A5,"AAAAAEfncR0=")</f>
        <v>#VALUE!</v>
      </c>
      <c r="AE7" t="e">
        <f>AND('3.SIPOC ฮาร์ดแวร์'!B5,"AAAAAEfncR4=")</f>
        <v>#VALUE!</v>
      </c>
      <c r="AF7" t="e">
        <f>AND('3.SIPOC ฮาร์ดแวร์'!C5,"AAAAAEfncR8=")</f>
        <v>#VALUE!</v>
      </c>
      <c r="AG7" t="e">
        <f>AND('3.SIPOC ฮาร์ดแวร์'!D5,"AAAAAEfncSA=")</f>
        <v>#VALUE!</v>
      </c>
      <c r="AH7" t="e">
        <f>AND('3.SIPOC ฮาร์ดแวร์'!E5,"AAAAAEfncSE=")</f>
        <v>#VALUE!</v>
      </c>
      <c r="AI7" t="e">
        <f>AND('3.SIPOC ฮาร์ดแวร์'!F5,"AAAAAEfncSI=")</f>
        <v>#VALUE!</v>
      </c>
      <c r="AJ7">
        <f>IF('3.SIPOC ฮาร์ดแวร์'!6:6,"AAAAAEfncSM=",0)</f>
        <v>0</v>
      </c>
      <c r="AK7" t="e">
        <f>AND('3.SIPOC ฮาร์ดแวร์'!A6,"AAAAAEfncSQ=")</f>
        <v>#VALUE!</v>
      </c>
      <c r="AL7" t="e">
        <f>AND('3.SIPOC ฮาร์ดแวร์'!B6,"AAAAAEfncSU=")</f>
        <v>#VALUE!</v>
      </c>
      <c r="AM7" t="e">
        <f>AND('3.SIPOC ฮาร์ดแวร์'!C6,"AAAAAEfncSY=")</f>
        <v>#VALUE!</v>
      </c>
      <c r="AN7" t="e">
        <f>AND('3.SIPOC ฮาร์ดแวร์'!D6,"AAAAAEfncSc=")</f>
        <v>#VALUE!</v>
      </c>
      <c r="AO7" t="e">
        <f>AND('3.SIPOC ฮาร์ดแวร์'!E6,"AAAAAEfncSg=")</f>
        <v>#VALUE!</v>
      </c>
      <c r="AP7" t="e">
        <f>AND('3.SIPOC ฮาร์ดแวร์'!F6,"AAAAAEfncSk=")</f>
        <v>#VALUE!</v>
      </c>
      <c r="AQ7">
        <f>IF('3.SIPOC ฮาร์ดแวร์'!7:7,"AAAAAEfncSo=",0)</f>
        <v>0</v>
      </c>
      <c r="AR7" t="e">
        <f>AND('3.SIPOC ฮาร์ดแวร์'!A7,"AAAAAEfncSs=")</f>
        <v>#VALUE!</v>
      </c>
      <c r="AS7" t="e">
        <f>AND('3.SIPOC ฮาร์ดแวร์'!B7,"AAAAAEfncSw=")</f>
        <v>#VALUE!</v>
      </c>
      <c r="AT7" t="e">
        <f>AND('3.SIPOC ฮาร์ดแวร์'!C7,"AAAAAEfncS0=")</f>
        <v>#VALUE!</v>
      </c>
      <c r="AU7" t="e">
        <f>AND('3.SIPOC ฮาร์ดแวร์'!D7,"AAAAAEfncS4=")</f>
        <v>#VALUE!</v>
      </c>
      <c r="AV7" t="e">
        <f>AND('3.SIPOC ฮาร์ดแวร์'!E7,"AAAAAEfncS8=")</f>
        <v>#VALUE!</v>
      </c>
      <c r="AW7" t="e">
        <f>AND('3.SIPOC ฮาร์ดแวร์'!F7,"AAAAAEfncTA=")</f>
        <v>#VALUE!</v>
      </c>
      <c r="AX7">
        <f>IF('3.SIPOC ฮาร์ดแวร์'!8:8,"AAAAAEfncTE=",0)</f>
        <v>0</v>
      </c>
      <c r="AY7" t="e">
        <f>AND('3.SIPOC ฮาร์ดแวร์'!A8,"AAAAAEfncTI=")</f>
        <v>#VALUE!</v>
      </c>
      <c r="AZ7" t="e">
        <f>AND('3.SIPOC ฮาร์ดแวร์'!B8,"AAAAAEfncTM=")</f>
        <v>#VALUE!</v>
      </c>
      <c r="BA7" t="e">
        <f>AND('3.SIPOC ฮาร์ดแวร์'!C8,"AAAAAEfncTQ=")</f>
        <v>#VALUE!</v>
      </c>
      <c r="BB7" t="e">
        <f>AND('3.SIPOC ฮาร์ดแวร์'!D8,"AAAAAEfncTU=")</f>
        <v>#VALUE!</v>
      </c>
      <c r="BC7" t="e">
        <f>AND('3.SIPOC ฮาร์ดแวร์'!E8,"AAAAAEfncTY=")</f>
        <v>#VALUE!</v>
      </c>
      <c r="BD7" t="e">
        <f>AND('3.SIPOC ฮาร์ดแวร์'!F8,"AAAAAEfncTc=")</f>
        <v>#VALUE!</v>
      </c>
      <c r="BE7">
        <f>IF('3.SIPOC ฮาร์ดแวร์'!9:9,"AAAAAEfncTg=",0)</f>
        <v>0</v>
      </c>
      <c r="BF7" t="e">
        <f>AND('3.SIPOC ฮาร์ดแวร์'!A9,"AAAAAEfncTk=")</f>
        <v>#VALUE!</v>
      </c>
      <c r="BG7" t="e">
        <f>AND('3.SIPOC ฮาร์ดแวร์'!B9,"AAAAAEfncTo=")</f>
        <v>#VALUE!</v>
      </c>
      <c r="BH7" t="e">
        <f>AND('3.SIPOC ฮาร์ดแวร์'!C9,"AAAAAEfncTs=")</f>
        <v>#VALUE!</v>
      </c>
      <c r="BI7" t="e">
        <f>AND('3.SIPOC ฮาร์ดแวร์'!D9,"AAAAAEfncTw=")</f>
        <v>#VALUE!</v>
      </c>
      <c r="BJ7" t="e">
        <f>AND('3.SIPOC ฮาร์ดแวร์'!E9,"AAAAAEfncT0=")</f>
        <v>#VALUE!</v>
      </c>
      <c r="BK7" t="e">
        <f>AND('3.SIPOC ฮาร์ดแวร์'!F9,"AAAAAEfncT4=")</f>
        <v>#VALUE!</v>
      </c>
      <c r="BL7">
        <f>IF('3.SIPOC ฮาร์ดแวร์'!10:10,"AAAAAEfncT8=",0)</f>
        <v>0</v>
      </c>
      <c r="BM7" t="e">
        <f>AND('3.SIPOC ฮาร์ดแวร์'!A10,"AAAAAEfncUA=")</f>
        <v>#VALUE!</v>
      </c>
      <c r="BN7" t="e">
        <f>AND('3.SIPOC ฮาร์ดแวร์'!B10,"AAAAAEfncUE=")</f>
        <v>#VALUE!</v>
      </c>
      <c r="BO7" t="e">
        <f>AND('3.SIPOC ฮาร์ดแวร์'!C10,"AAAAAEfncUI=")</f>
        <v>#VALUE!</v>
      </c>
      <c r="BP7" t="e">
        <f>AND('3.SIPOC ฮาร์ดแวร์'!D10,"AAAAAEfncUM=")</f>
        <v>#VALUE!</v>
      </c>
      <c r="BQ7" t="e">
        <f>AND('3.SIPOC ฮาร์ดแวร์'!E10,"AAAAAEfncUQ=")</f>
        <v>#VALUE!</v>
      </c>
      <c r="BR7" t="e">
        <f>AND('3.SIPOC ฮาร์ดแวร์'!F10,"AAAAAEfncUU=")</f>
        <v>#VALUE!</v>
      </c>
      <c r="BS7">
        <f>IF('3.SIPOC ฮาร์ดแวร์'!11:11,"AAAAAEfncUY=",0)</f>
        <v>0</v>
      </c>
      <c r="BT7" t="e">
        <f>AND('3.SIPOC ฮาร์ดแวร์'!A11,"AAAAAEfncUc=")</f>
        <v>#VALUE!</v>
      </c>
      <c r="BU7" t="e">
        <f>AND('3.SIPOC ฮาร์ดแวร์'!B11,"AAAAAEfncUg=")</f>
        <v>#VALUE!</v>
      </c>
      <c r="BV7" t="e">
        <f>AND('3.SIPOC ฮาร์ดแวร์'!C11,"AAAAAEfncUk=")</f>
        <v>#VALUE!</v>
      </c>
      <c r="BW7" t="e">
        <f>AND('3.SIPOC ฮาร์ดแวร์'!D11,"AAAAAEfncUo=")</f>
        <v>#VALUE!</v>
      </c>
      <c r="BX7" t="e">
        <f>AND('3.SIPOC ฮาร์ดแวร์'!E11,"AAAAAEfncUs=")</f>
        <v>#VALUE!</v>
      </c>
      <c r="BY7" t="e">
        <f>AND('3.SIPOC ฮาร์ดแวร์'!F11,"AAAAAEfncUw=")</f>
        <v>#VALUE!</v>
      </c>
      <c r="BZ7">
        <f>IF('3.SIPOC ฮาร์ดแวร์'!12:12,"AAAAAEfncU0=",0)</f>
        <v>0</v>
      </c>
      <c r="CA7" t="e">
        <f>AND('3.SIPOC ฮาร์ดแวร์'!A12,"AAAAAEfncU4=")</f>
        <v>#VALUE!</v>
      </c>
      <c r="CB7" t="e">
        <f>AND('3.SIPOC ฮาร์ดแวร์'!B12,"AAAAAEfncU8=")</f>
        <v>#VALUE!</v>
      </c>
      <c r="CC7" t="e">
        <f>AND('3.SIPOC ฮาร์ดแวร์'!C12,"AAAAAEfncVA=")</f>
        <v>#VALUE!</v>
      </c>
      <c r="CD7" t="e">
        <f>AND('3.SIPOC ฮาร์ดแวร์'!D12,"AAAAAEfncVE=")</f>
        <v>#VALUE!</v>
      </c>
      <c r="CE7" t="e">
        <f>AND('3.SIPOC ฮาร์ดแวร์'!E12,"AAAAAEfncVI=")</f>
        <v>#VALUE!</v>
      </c>
      <c r="CF7" t="e">
        <f>AND('3.SIPOC ฮาร์ดแวร์'!F12,"AAAAAEfncVM=")</f>
        <v>#VALUE!</v>
      </c>
      <c r="CG7">
        <f>IF('3.SIPOC ฮาร์ดแวร์'!13:13,"AAAAAEfncVQ=",0)</f>
        <v>0</v>
      </c>
      <c r="CH7" t="e">
        <f>AND('3.SIPOC ฮาร์ดแวร์'!A13,"AAAAAEfncVU=")</f>
        <v>#VALUE!</v>
      </c>
      <c r="CI7" t="e">
        <f>AND('3.SIPOC ฮาร์ดแวร์'!B13,"AAAAAEfncVY=")</f>
        <v>#VALUE!</v>
      </c>
      <c r="CJ7" t="e">
        <f>AND('3.SIPOC ฮาร์ดแวร์'!C13,"AAAAAEfncVc=")</f>
        <v>#VALUE!</v>
      </c>
      <c r="CK7" t="e">
        <f>AND('3.SIPOC ฮาร์ดแวร์'!D13,"AAAAAEfncVg=")</f>
        <v>#VALUE!</v>
      </c>
      <c r="CL7" t="e">
        <f>AND('3.SIPOC ฮาร์ดแวร์'!E13,"AAAAAEfncVk=")</f>
        <v>#VALUE!</v>
      </c>
      <c r="CM7" t="e">
        <f>AND('3.SIPOC ฮาร์ดแวร์'!F13,"AAAAAEfncVo=")</f>
        <v>#VALUE!</v>
      </c>
      <c r="CN7">
        <f>IF('3.SIPOC ฮาร์ดแวร์'!14:14,"AAAAAEfncVs=",0)</f>
        <v>0</v>
      </c>
      <c r="CO7" t="e">
        <f>AND('3.SIPOC ฮาร์ดแวร์'!A14,"AAAAAEfncVw=")</f>
        <v>#VALUE!</v>
      </c>
      <c r="CP7" t="e">
        <f>AND('3.SIPOC ฮาร์ดแวร์'!B14,"AAAAAEfncV0=")</f>
        <v>#VALUE!</v>
      </c>
      <c r="CQ7" t="e">
        <f>AND('3.SIPOC ฮาร์ดแวร์'!C14,"AAAAAEfncV4=")</f>
        <v>#VALUE!</v>
      </c>
      <c r="CR7" t="e">
        <f>AND('3.SIPOC ฮาร์ดแวร์'!D14,"AAAAAEfncV8=")</f>
        <v>#VALUE!</v>
      </c>
      <c r="CS7" t="e">
        <f>AND('3.SIPOC ฮาร์ดแวร์'!E14,"AAAAAEfncWA=")</f>
        <v>#VALUE!</v>
      </c>
      <c r="CT7" t="e">
        <f>AND('3.SIPOC ฮาร์ดแวร์'!F14,"AAAAAEfncWE=")</f>
        <v>#VALUE!</v>
      </c>
      <c r="CU7">
        <f>IF('3.SIPOC ฮาร์ดแวร์'!15:15,"AAAAAEfncWI=",0)</f>
        <v>0</v>
      </c>
      <c r="CV7" t="e">
        <f>AND('3.SIPOC ฮาร์ดแวร์'!A15,"AAAAAEfncWM=")</f>
        <v>#VALUE!</v>
      </c>
      <c r="CW7" t="e">
        <f>AND('3.SIPOC ฮาร์ดแวร์'!B15,"AAAAAEfncWQ=")</f>
        <v>#VALUE!</v>
      </c>
      <c r="CX7" t="e">
        <f>AND('3.SIPOC ฮาร์ดแวร์'!C15,"AAAAAEfncWU=")</f>
        <v>#VALUE!</v>
      </c>
      <c r="CY7" t="e">
        <f>AND('3.SIPOC ฮาร์ดแวร์'!D15,"AAAAAEfncWY=")</f>
        <v>#VALUE!</v>
      </c>
      <c r="CZ7" t="e">
        <f>AND('3.SIPOC ฮาร์ดแวร์'!E15,"AAAAAEfncWc=")</f>
        <v>#VALUE!</v>
      </c>
      <c r="DA7" t="e">
        <f>AND('3.SIPOC ฮาร์ดแวร์'!F15,"AAAAAEfncWg=")</f>
        <v>#VALUE!</v>
      </c>
      <c r="DB7">
        <f>IF('3.SIPOC ฮาร์ดแวร์'!16:16,"AAAAAEfncWk=",0)</f>
        <v>0</v>
      </c>
      <c r="DC7" t="e">
        <f>AND('3.SIPOC ฮาร์ดแวร์'!A16,"AAAAAEfncWo=")</f>
        <v>#VALUE!</v>
      </c>
      <c r="DD7" t="e">
        <f>AND('3.SIPOC ฮาร์ดแวร์'!B16,"AAAAAEfncWs=")</f>
        <v>#VALUE!</v>
      </c>
      <c r="DE7" t="e">
        <f>AND('3.SIPOC ฮาร์ดแวร์'!C16,"AAAAAEfncWw=")</f>
        <v>#VALUE!</v>
      </c>
      <c r="DF7" t="e">
        <f>AND('3.SIPOC ฮาร์ดแวร์'!D16,"AAAAAEfncW0=")</f>
        <v>#VALUE!</v>
      </c>
      <c r="DG7" t="e">
        <f>AND('3.SIPOC ฮาร์ดแวร์'!E16,"AAAAAEfncW4=")</f>
        <v>#VALUE!</v>
      </c>
      <c r="DH7" t="e">
        <f>AND('3.SIPOC ฮาร์ดแวร์'!F16,"AAAAAEfncW8=")</f>
        <v>#VALUE!</v>
      </c>
      <c r="DI7">
        <f>IF('3.SIPOC ฮาร์ดแวร์'!17:17,"AAAAAEfncXA=",0)</f>
        <v>0</v>
      </c>
      <c r="DJ7" t="e">
        <f>AND('3.SIPOC ฮาร์ดแวร์'!A17,"AAAAAEfncXE=")</f>
        <v>#VALUE!</v>
      </c>
      <c r="DK7" t="e">
        <f>AND('3.SIPOC ฮาร์ดแวร์'!B17,"AAAAAEfncXI=")</f>
        <v>#VALUE!</v>
      </c>
      <c r="DL7" t="e">
        <f>AND('3.SIPOC ฮาร์ดแวร์'!C17,"AAAAAEfncXM=")</f>
        <v>#VALUE!</v>
      </c>
      <c r="DM7" t="e">
        <f>AND('3.SIPOC ฮาร์ดแวร์'!D17,"AAAAAEfncXQ=")</f>
        <v>#VALUE!</v>
      </c>
      <c r="DN7" t="e">
        <f>AND('3.SIPOC ฮาร์ดแวร์'!E17,"AAAAAEfncXU=")</f>
        <v>#VALUE!</v>
      </c>
      <c r="DO7" t="e">
        <f>AND('3.SIPOC ฮาร์ดแวร์'!F17,"AAAAAEfncXY=")</f>
        <v>#VALUE!</v>
      </c>
      <c r="DP7">
        <f>IF('3.SIPOC ฮาร์ดแวร์'!18:18,"AAAAAEfncXc=",0)</f>
        <v>0</v>
      </c>
      <c r="DQ7" t="e">
        <f>AND('3.SIPOC ฮาร์ดแวร์'!A18,"AAAAAEfncXg=")</f>
        <v>#VALUE!</v>
      </c>
      <c r="DR7" t="e">
        <f>AND('3.SIPOC ฮาร์ดแวร์'!B18,"AAAAAEfncXk=")</f>
        <v>#VALUE!</v>
      </c>
      <c r="DS7" t="e">
        <f>AND('3.SIPOC ฮาร์ดแวร์'!C18,"AAAAAEfncXo=")</f>
        <v>#VALUE!</v>
      </c>
      <c r="DT7" t="e">
        <f>AND('3.SIPOC ฮาร์ดแวร์'!D18,"AAAAAEfncXs=")</f>
        <v>#VALUE!</v>
      </c>
      <c r="DU7" t="e">
        <f>AND('3.SIPOC ฮาร์ดแวร์'!E18,"AAAAAEfncXw=")</f>
        <v>#VALUE!</v>
      </c>
      <c r="DV7" t="e">
        <f>AND('3.SIPOC ฮาร์ดแวร์'!F18,"AAAAAEfncX0=")</f>
        <v>#VALUE!</v>
      </c>
      <c r="DW7">
        <f>IF('3.SIPOC ฮาร์ดแวร์'!19:19,"AAAAAEfncX4=",0)</f>
        <v>0</v>
      </c>
      <c r="DX7">
        <f>IF('3.SIPOC ฮาร์ดแวร์'!20:20,"AAAAAEfncX8=",0)</f>
        <v>0</v>
      </c>
      <c r="DY7">
        <f>IF('3.SIPOC ฮาร์ดแวร์'!21:21,"AAAAAEfncYA=",0)</f>
        <v>0</v>
      </c>
      <c r="DZ7">
        <f>IF('3.SIPOC ฮาร์ดแวร์'!22:22,"AAAAAEfncYE=",0)</f>
        <v>0</v>
      </c>
      <c r="EA7">
        <f>IF('3.SIPOC ฮาร์ดแวร์'!23:23,"AAAAAEfncYI=",0)</f>
        <v>0</v>
      </c>
      <c r="EB7">
        <f>IF('3.SIPOC ฮาร์ดแวร์'!24:24,"AAAAAEfncYM=",0)</f>
        <v>0</v>
      </c>
      <c r="EC7">
        <f>IF('3.SIPOC ฮาร์ดแวร์'!25:25,"AAAAAEfncYQ=",0)</f>
        <v>0</v>
      </c>
      <c r="ED7">
        <f>IF('3.SIPOC ฮาร์ดแวร์'!26:26,"AAAAAEfncYU=",0)</f>
        <v>0</v>
      </c>
      <c r="EE7">
        <f>IF('3.SIPOC ฮาร์ดแวร์'!27:27,"AAAAAEfncYY=",0)</f>
        <v>0</v>
      </c>
      <c r="EF7">
        <f>IF('3.SIPOC ฮาร์ดแวร์'!A:A,"AAAAAEfncYc=",0)</f>
        <v>0</v>
      </c>
      <c r="EG7" t="e">
        <f>IF('3.SIPOC ฮาร์ดแวร์'!B:B,"AAAAAEfncYg=",0)</f>
        <v>#VALUE!</v>
      </c>
      <c r="EH7" t="e">
        <f>IF('3.SIPOC ฮาร์ดแวร์'!C:C,"AAAAAEfncYk=",0)</f>
        <v>#VALUE!</v>
      </c>
      <c r="EI7" t="e">
        <f>IF('3.SIPOC ฮาร์ดแวร์'!D:D,"AAAAAEfncYo=",0)</f>
        <v>#VALUE!</v>
      </c>
      <c r="EJ7" t="e">
        <f>IF('3.SIPOC ฮาร์ดแวร์'!E:E,"AAAAAEfncYs=",0)</f>
        <v>#VALUE!</v>
      </c>
      <c r="EK7" t="e">
        <f>IF('3.SIPOC ฮาร์ดแวร์'!F:F,"AAAAAEfncYw=",0)</f>
        <v>#VALUE!</v>
      </c>
      <c r="EL7">
        <f>IF('3.SIPOC โครงการ'!1:1,"AAAAAEfncY0=",0)</f>
        <v>0</v>
      </c>
      <c r="EM7" t="e">
        <f>AND('3.SIPOC โครงการ'!A1,"AAAAAEfncY4=")</f>
        <v>#VALUE!</v>
      </c>
      <c r="EN7" t="e">
        <f>AND('3.SIPOC โครงการ'!B1,"AAAAAEfncY8=")</f>
        <v>#VALUE!</v>
      </c>
      <c r="EO7" t="e">
        <f>AND('3.SIPOC โครงการ'!C1,"AAAAAEfncZA=")</f>
        <v>#VALUE!</v>
      </c>
      <c r="EP7" t="e">
        <f>AND('3.SIPOC โครงการ'!D1,"AAAAAEfncZE=")</f>
        <v>#VALUE!</v>
      </c>
      <c r="EQ7" t="e">
        <f>AND('3.SIPOC โครงการ'!E1,"AAAAAEfncZI=")</f>
        <v>#VALUE!</v>
      </c>
      <c r="ER7" t="e">
        <f>AND('3.SIPOC โครงการ'!F1,"AAAAAEfncZM=")</f>
        <v>#VALUE!</v>
      </c>
      <c r="ES7">
        <f>IF('3.SIPOC โครงการ'!2:2,"AAAAAEfncZQ=",0)</f>
        <v>0</v>
      </c>
      <c r="ET7" t="e">
        <f>AND('3.SIPOC โครงการ'!A2,"AAAAAEfncZU=")</f>
        <v>#VALUE!</v>
      </c>
      <c r="EU7" t="e">
        <f>AND('3.SIPOC โครงการ'!B2,"AAAAAEfncZY=")</f>
        <v>#VALUE!</v>
      </c>
      <c r="EV7" t="e">
        <f>AND('3.SIPOC โครงการ'!C2,"AAAAAEfncZc=")</f>
        <v>#VALUE!</v>
      </c>
      <c r="EW7" t="e">
        <f>AND('3.SIPOC โครงการ'!D2,"AAAAAEfncZg=")</f>
        <v>#VALUE!</v>
      </c>
      <c r="EX7" t="e">
        <f>AND('3.SIPOC โครงการ'!E2,"AAAAAEfncZk=")</f>
        <v>#VALUE!</v>
      </c>
      <c r="EY7" t="e">
        <f>AND('3.SIPOC โครงการ'!F2,"AAAAAEfncZo=")</f>
        <v>#VALUE!</v>
      </c>
      <c r="EZ7">
        <f>IF('3.SIPOC โครงการ'!3:3,"AAAAAEfncZs=",0)</f>
        <v>0</v>
      </c>
      <c r="FA7" t="e">
        <f>AND('3.SIPOC โครงการ'!A3,"AAAAAEfncZw=")</f>
        <v>#VALUE!</v>
      </c>
      <c r="FB7" t="e">
        <f>AND('3.SIPOC โครงการ'!B3,"AAAAAEfncZ0=")</f>
        <v>#VALUE!</v>
      </c>
      <c r="FC7" t="e">
        <f>AND('3.SIPOC โครงการ'!C3,"AAAAAEfncZ4=")</f>
        <v>#VALUE!</v>
      </c>
      <c r="FD7" t="e">
        <f>AND('3.SIPOC โครงการ'!D3,"AAAAAEfncZ8=")</f>
        <v>#VALUE!</v>
      </c>
      <c r="FE7" t="e">
        <f>AND('3.SIPOC โครงการ'!E3,"AAAAAEfncaA=")</f>
        <v>#VALUE!</v>
      </c>
      <c r="FF7" t="e">
        <f>AND('3.SIPOC โครงการ'!F3,"AAAAAEfncaE=")</f>
        <v>#VALUE!</v>
      </c>
      <c r="FG7">
        <f>IF('3.SIPOC โครงการ'!4:4,"AAAAAEfncaI=",0)</f>
        <v>0</v>
      </c>
      <c r="FH7" t="e">
        <f>AND('3.SIPOC โครงการ'!A4,"AAAAAEfncaM=")</f>
        <v>#VALUE!</v>
      </c>
      <c r="FI7" t="e">
        <f>AND('3.SIPOC โครงการ'!B4,"AAAAAEfncaQ=")</f>
        <v>#VALUE!</v>
      </c>
      <c r="FJ7" t="e">
        <f>AND('3.SIPOC โครงการ'!C4,"AAAAAEfncaU=")</f>
        <v>#VALUE!</v>
      </c>
      <c r="FK7" t="e">
        <f>AND('3.SIPOC โครงการ'!D4,"AAAAAEfncaY=")</f>
        <v>#VALUE!</v>
      </c>
      <c r="FL7" t="e">
        <f>AND('3.SIPOC โครงการ'!E4,"AAAAAEfncac=")</f>
        <v>#VALUE!</v>
      </c>
      <c r="FM7" t="e">
        <f>AND('3.SIPOC โครงการ'!F4,"AAAAAEfncag=")</f>
        <v>#VALUE!</v>
      </c>
      <c r="FN7">
        <f>IF('3.SIPOC โครงการ'!5:5,"AAAAAEfncak=",0)</f>
        <v>0</v>
      </c>
      <c r="FO7" t="e">
        <f>AND('3.SIPOC โครงการ'!A5,"AAAAAEfncao=")</f>
        <v>#VALUE!</v>
      </c>
      <c r="FP7" t="e">
        <f>AND('3.SIPOC โครงการ'!B5,"AAAAAEfncas=")</f>
        <v>#VALUE!</v>
      </c>
      <c r="FQ7" t="e">
        <f>AND('3.SIPOC โครงการ'!C5,"AAAAAEfncaw=")</f>
        <v>#VALUE!</v>
      </c>
      <c r="FR7" t="e">
        <f>AND('3.SIPOC โครงการ'!D5,"AAAAAEfnca0=")</f>
        <v>#VALUE!</v>
      </c>
      <c r="FS7" t="e">
        <f>AND('3.SIPOC โครงการ'!E5,"AAAAAEfnca4=")</f>
        <v>#VALUE!</v>
      </c>
      <c r="FT7" t="e">
        <f>AND('3.SIPOC โครงการ'!F5,"AAAAAEfnca8=")</f>
        <v>#VALUE!</v>
      </c>
      <c r="FU7">
        <f>IF('3.SIPOC โครงการ'!6:6,"AAAAAEfncbA=",0)</f>
        <v>0</v>
      </c>
      <c r="FV7" t="e">
        <f>AND('3.SIPOC โครงการ'!A6,"AAAAAEfncbE=")</f>
        <v>#VALUE!</v>
      </c>
      <c r="FW7" t="e">
        <f>AND('3.SIPOC โครงการ'!B6,"AAAAAEfncbI=")</f>
        <v>#VALUE!</v>
      </c>
      <c r="FX7" t="e">
        <f>AND('3.SIPOC โครงการ'!C6,"AAAAAEfncbM=")</f>
        <v>#VALUE!</v>
      </c>
      <c r="FY7" t="e">
        <f>AND('3.SIPOC โครงการ'!D6,"AAAAAEfncbQ=")</f>
        <v>#VALUE!</v>
      </c>
      <c r="FZ7" t="e">
        <f>AND('3.SIPOC โครงการ'!E6,"AAAAAEfncbU=")</f>
        <v>#VALUE!</v>
      </c>
      <c r="GA7" t="e">
        <f>AND('3.SIPOC โครงการ'!F6,"AAAAAEfncbY=")</f>
        <v>#VALUE!</v>
      </c>
      <c r="GB7">
        <f>IF('3.SIPOC โครงการ'!7:7,"AAAAAEfncbc=",0)</f>
        <v>0</v>
      </c>
      <c r="GC7" t="e">
        <f>AND('3.SIPOC โครงการ'!A7,"AAAAAEfncbg=")</f>
        <v>#VALUE!</v>
      </c>
      <c r="GD7" t="e">
        <f>AND('3.SIPOC โครงการ'!B7,"AAAAAEfncbk=")</f>
        <v>#VALUE!</v>
      </c>
      <c r="GE7" t="e">
        <f>AND('3.SIPOC โครงการ'!C7,"AAAAAEfncbo=")</f>
        <v>#VALUE!</v>
      </c>
      <c r="GF7" t="e">
        <f>AND('3.SIPOC โครงการ'!D7,"AAAAAEfncbs=")</f>
        <v>#VALUE!</v>
      </c>
      <c r="GG7" t="e">
        <f>AND('3.SIPOC โครงการ'!E7,"AAAAAEfncbw=")</f>
        <v>#VALUE!</v>
      </c>
      <c r="GH7" t="e">
        <f>AND('3.SIPOC โครงการ'!F7,"AAAAAEfncb0=")</f>
        <v>#VALUE!</v>
      </c>
      <c r="GI7">
        <f>IF('3.SIPOC โครงการ'!8:8,"AAAAAEfncb4=",0)</f>
        <v>0</v>
      </c>
      <c r="GJ7" t="e">
        <f>AND('3.SIPOC โครงการ'!A8,"AAAAAEfncb8=")</f>
        <v>#VALUE!</v>
      </c>
      <c r="GK7" t="e">
        <f>AND('3.SIPOC โครงการ'!B8,"AAAAAEfnccA=")</f>
        <v>#VALUE!</v>
      </c>
      <c r="GL7" t="e">
        <f>AND('3.SIPOC โครงการ'!C8,"AAAAAEfnccE=")</f>
        <v>#VALUE!</v>
      </c>
      <c r="GM7" t="e">
        <f>AND('3.SIPOC โครงการ'!D8,"AAAAAEfnccI=")</f>
        <v>#VALUE!</v>
      </c>
      <c r="GN7" t="e">
        <f>AND('3.SIPOC โครงการ'!E8,"AAAAAEfnccM=")</f>
        <v>#VALUE!</v>
      </c>
      <c r="GO7" t="e">
        <f>AND('3.SIPOC โครงการ'!F8,"AAAAAEfnccQ=")</f>
        <v>#VALUE!</v>
      </c>
      <c r="GP7">
        <f>IF('3.SIPOC โครงการ'!9:9,"AAAAAEfnccU=",0)</f>
        <v>0</v>
      </c>
      <c r="GQ7" t="e">
        <f>AND('3.SIPOC โครงการ'!A9,"AAAAAEfnccY=")</f>
        <v>#VALUE!</v>
      </c>
      <c r="GR7" t="e">
        <f>AND('3.SIPOC โครงการ'!B9,"AAAAAEfnccc=")</f>
        <v>#VALUE!</v>
      </c>
      <c r="GS7" t="e">
        <f>AND('3.SIPOC โครงการ'!C9,"AAAAAEfnccg=")</f>
        <v>#VALUE!</v>
      </c>
      <c r="GT7" t="e">
        <f>AND('3.SIPOC โครงการ'!D9,"AAAAAEfncck=")</f>
        <v>#VALUE!</v>
      </c>
      <c r="GU7" t="e">
        <f>AND('3.SIPOC โครงการ'!E9,"AAAAAEfncco=")</f>
        <v>#VALUE!</v>
      </c>
      <c r="GV7" t="e">
        <f>AND('3.SIPOC โครงการ'!F9,"AAAAAEfnccs=")</f>
        <v>#VALUE!</v>
      </c>
      <c r="GW7">
        <f>IF('3.SIPOC โครงการ'!10:10,"AAAAAEfnccw=",0)</f>
        <v>0</v>
      </c>
      <c r="GX7" t="e">
        <f>AND('3.SIPOC โครงการ'!A10,"AAAAAEfncc0=")</f>
        <v>#VALUE!</v>
      </c>
      <c r="GY7" t="e">
        <f>AND('3.SIPOC โครงการ'!B10,"AAAAAEfncc4=")</f>
        <v>#VALUE!</v>
      </c>
      <c r="GZ7" t="e">
        <f>AND('3.SIPOC โครงการ'!C10,"AAAAAEfncc8=")</f>
        <v>#VALUE!</v>
      </c>
      <c r="HA7" t="e">
        <f>AND('3.SIPOC โครงการ'!D10,"AAAAAEfncdA=")</f>
        <v>#VALUE!</v>
      </c>
      <c r="HB7" t="e">
        <f>AND('3.SIPOC โครงการ'!E10,"AAAAAEfncdE=")</f>
        <v>#VALUE!</v>
      </c>
      <c r="HC7" t="e">
        <f>AND('3.SIPOC โครงการ'!F10,"AAAAAEfncdI=")</f>
        <v>#VALUE!</v>
      </c>
      <c r="HD7">
        <f>IF('3.SIPOC โครงการ'!11:11,"AAAAAEfncdM=",0)</f>
        <v>0</v>
      </c>
      <c r="HE7" t="e">
        <f>AND('3.SIPOC โครงการ'!A11,"AAAAAEfncdQ=")</f>
        <v>#VALUE!</v>
      </c>
      <c r="HF7" t="e">
        <f>AND('3.SIPOC โครงการ'!B11,"AAAAAEfncdU=")</f>
        <v>#VALUE!</v>
      </c>
      <c r="HG7" t="e">
        <f>AND('3.SIPOC โครงการ'!C11,"AAAAAEfncdY=")</f>
        <v>#VALUE!</v>
      </c>
      <c r="HH7" t="e">
        <f>AND('3.SIPOC โครงการ'!D11,"AAAAAEfncdc=")</f>
        <v>#VALUE!</v>
      </c>
      <c r="HI7" t="e">
        <f>AND('3.SIPOC โครงการ'!E11,"AAAAAEfncdg=")</f>
        <v>#VALUE!</v>
      </c>
      <c r="HJ7" t="e">
        <f>AND('3.SIPOC โครงการ'!F11,"AAAAAEfncdk=")</f>
        <v>#VALUE!</v>
      </c>
      <c r="HK7">
        <f>IF('3.SIPOC โครงการ'!12:12,"AAAAAEfncdo=",0)</f>
        <v>0</v>
      </c>
      <c r="HL7" t="e">
        <f>AND('3.SIPOC โครงการ'!A12,"AAAAAEfncds=")</f>
        <v>#VALUE!</v>
      </c>
      <c r="HM7" t="e">
        <f>AND('3.SIPOC โครงการ'!B12,"AAAAAEfncdw=")</f>
        <v>#VALUE!</v>
      </c>
      <c r="HN7" t="e">
        <f>AND('3.SIPOC โครงการ'!C12,"AAAAAEfncd0=")</f>
        <v>#VALUE!</v>
      </c>
      <c r="HO7" t="e">
        <f>AND('3.SIPOC โครงการ'!D12,"AAAAAEfncd4=")</f>
        <v>#VALUE!</v>
      </c>
      <c r="HP7" t="e">
        <f>AND('3.SIPOC โครงการ'!E12,"AAAAAEfncd8=")</f>
        <v>#VALUE!</v>
      </c>
      <c r="HQ7" t="e">
        <f>AND('3.SIPOC โครงการ'!F12,"AAAAAEfnceA=")</f>
        <v>#VALUE!</v>
      </c>
      <c r="HR7">
        <f>IF('3.SIPOC โครงการ'!13:13,"AAAAAEfnceE=",0)</f>
        <v>0</v>
      </c>
      <c r="HS7" t="e">
        <f>AND('3.SIPOC โครงการ'!A13,"AAAAAEfnceI=")</f>
        <v>#VALUE!</v>
      </c>
      <c r="HT7" t="e">
        <f>AND('3.SIPOC โครงการ'!B13,"AAAAAEfnceM=")</f>
        <v>#VALUE!</v>
      </c>
      <c r="HU7" t="e">
        <f>AND('3.SIPOC โครงการ'!C13,"AAAAAEfnceQ=")</f>
        <v>#VALUE!</v>
      </c>
      <c r="HV7" t="e">
        <f>AND('3.SIPOC โครงการ'!D13,"AAAAAEfnceU=")</f>
        <v>#VALUE!</v>
      </c>
      <c r="HW7" t="e">
        <f>AND('3.SIPOC โครงการ'!E13,"AAAAAEfnceY=")</f>
        <v>#VALUE!</v>
      </c>
      <c r="HX7" t="e">
        <f>AND('3.SIPOC โครงการ'!F13,"AAAAAEfncec=")</f>
        <v>#VALUE!</v>
      </c>
      <c r="HY7">
        <f>IF('3.SIPOC โครงการ'!14:14,"AAAAAEfnceg=",0)</f>
        <v>0</v>
      </c>
      <c r="HZ7" t="e">
        <f>AND('3.SIPOC โครงการ'!A14,"AAAAAEfncek=")</f>
        <v>#VALUE!</v>
      </c>
      <c r="IA7" t="e">
        <f>AND('3.SIPOC โครงการ'!B14,"AAAAAEfnceo=")</f>
        <v>#VALUE!</v>
      </c>
      <c r="IB7" t="e">
        <f>AND('3.SIPOC โครงการ'!C14,"AAAAAEfnces=")</f>
        <v>#VALUE!</v>
      </c>
      <c r="IC7" t="e">
        <f>AND('3.SIPOC โครงการ'!D14,"AAAAAEfncew=")</f>
        <v>#VALUE!</v>
      </c>
      <c r="ID7" t="e">
        <f>AND('3.SIPOC โครงการ'!E14,"AAAAAEfnce0=")</f>
        <v>#VALUE!</v>
      </c>
      <c r="IE7" t="e">
        <f>AND('3.SIPOC โครงการ'!F14,"AAAAAEfnce4=")</f>
        <v>#VALUE!</v>
      </c>
      <c r="IF7">
        <f>IF('3.SIPOC โครงการ'!15:15,"AAAAAEfnce8=",0)</f>
        <v>0</v>
      </c>
      <c r="IG7" t="e">
        <f>AND('3.SIPOC โครงการ'!A15,"AAAAAEfncfA=")</f>
        <v>#VALUE!</v>
      </c>
      <c r="IH7" t="e">
        <f>AND('3.SIPOC โครงการ'!B15,"AAAAAEfncfE=")</f>
        <v>#VALUE!</v>
      </c>
      <c r="II7" t="e">
        <f>AND('3.SIPOC โครงการ'!C15,"AAAAAEfncfI=")</f>
        <v>#VALUE!</v>
      </c>
      <c r="IJ7" t="e">
        <f>AND('3.SIPOC โครงการ'!D15,"AAAAAEfncfM=")</f>
        <v>#VALUE!</v>
      </c>
      <c r="IK7" t="e">
        <f>AND('3.SIPOC โครงการ'!E15,"AAAAAEfncfQ=")</f>
        <v>#VALUE!</v>
      </c>
      <c r="IL7" t="e">
        <f>AND('3.SIPOC โครงการ'!F15,"AAAAAEfncfU=")</f>
        <v>#VALUE!</v>
      </c>
      <c r="IM7">
        <f>IF('3.SIPOC โครงการ'!16:16,"AAAAAEfncfY=",0)</f>
        <v>0</v>
      </c>
      <c r="IN7" t="e">
        <f>AND('3.SIPOC โครงการ'!A16,"AAAAAEfncfc=")</f>
        <v>#VALUE!</v>
      </c>
      <c r="IO7" t="e">
        <f>AND('3.SIPOC โครงการ'!B16,"AAAAAEfncfg=")</f>
        <v>#VALUE!</v>
      </c>
      <c r="IP7" t="e">
        <f>AND('3.SIPOC โครงการ'!C16,"AAAAAEfncfk=")</f>
        <v>#VALUE!</v>
      </c>
      <c r="IQ7" t="e">
        <f>AND('3.SIPOC โครงการ'!D16,"AAAAAEfncfo=")</f>
        <v>#VALUE!</v>
      </c>
      <c r="IR7" t="e">
        <f>AND('3.SIPOC โครงการ'!E16,"AAAAAEfncfs=")</f>
        <v>#VALUE!</v>
      </c>
      <c r="IS7" t="e">
        <f>AND('3.SIPOC โครงการ'!F16,"AAAAAEfncfw=")</f>
        <v>#VALUE!</v>
      </c>
      <c r="IT7">
        <f>IF('3.SIPOC โครงการ'!17:17,"AAAAAEfncf0=",0)</f>
        <v>0</v>
      </c>
      <c r="IU7" t="e">
        <f>AND('3.SIPOC โครงการ'!A17,"AAAAAEfncf4=")</f>
        <v>#VALUE!</v>
      </c>
      <c r="IV7" t="e">
        <f>AND('3.SIPOC โครงการ'!B17,"AAAAAEfncf8=")</f>
        <v>#VALUE!</v>
      </c>
    </row>
    <row r="8" spans="1:26" ht="14.25">
      <c r="A8" t="e">
        <f>AND('3.SIPOC โครงการ'!C17,"AAAAAFQlHwA=")</f>
        <v>#VALUE!</v>
      </c>
      <c r="B8" t="e">
        <f>AND('3.SIPOC โครงการ'!D17,"AAAAAFQlHwE=")</f>
        <v>#VALUE!</v>
      </c>
      <c r="C8" t="e">
        <f>AND('3.SIPOC โครงการ'!E17,"AAAAAFQlHwI=")</f>
        <v>#VALUE!</v>
      </c>
      <c r="D8" t="e">
        <f>AND('3.SIPOC โครงการ'!F17,"AAAAAFQlHwM=")</f>
        <v>#VALUE!</v>
      </c>
      <c r="E8" t="e">
        <f>IF('3.SIPOC โครงการ'!18:18,"AAAAAFQlHwQ=",0)</f>
        <v>#VALUE!</v>
      </c>
      <c r="F8" t="e">
        <f>AND('3.SIPOC โครงการ'!A18,"AAAAAFQlHwU=")</f>
        <v>#VALUE!</v>
      </c>
      <c r="G8" t="e">
        <f>AND('3.SIPOC โครงการ'!B18,"AAAAAFQlHwY=")</f>
        <v>#VALUE!</v>
      </c>
      <c r="H8" t="e">
        <f>AND('3.SIPOC โครงการ'!C18,"AAAAAFQlHwc=")</f>
        <v>#VALUE!</v>
      </c>
      <c r="I8" t="e">
        <f>AND('3.SIPOC โครงการ'!D18,"AAAAAFQlHwg=")</f>
        <v>#VALUE!</v>
      </c>
      <c r="J8" t="e">
        <f>AND('3.SIPOC โครงการ'!E18,"AAAAAFQlHwk=")</f>
        <v>#VALUE!</v>
      </c>
      <c r="K8" t="e">
        <f>AND('3.SIPOC โครงการ'!F18,"AAAAAFQlHwo=")</f>
        <v>#VALUE!</v>
      </c>
      <c r="L8">
        <f>IF('3.SIPOC โครงการ'!19:19,"AAAAAFQlHws=",0)</f>
        <v>0</v>
      </c>
      <c r="M8">
        <f>IF('3.SIPOC โครงการ'!20:20,"AAAAAFQlHww=",0)</f>
        <v>0</v>
      </c>
      <c r="N8">
        <f>IF('3.SIPOC โครงการ'!21:21,"AAAAAFQlHw0=",0)</f>
        <v>0</v>
      </c>
      <c r="O8">
        <f>IF('3.SIPOC โครงการ'!22:22,"AAAAAFQlHw4=",0)</f>
        <v>0</v>
      </c>
      <c r="P8">
        <f>IF('3.SIPOC โครงการ'!23:23,"AAAAAFQlHw8=",0)</f>
        <v>0</v>
      </c>
      <c r="Q8">
        <f>IF('3.SIPOC โครงการ'!24:24,"AAAAAFQlHxA=",0)</f>
        <v>0</v>
      </c>
      <c r="R8">
        <f>IF('3.SIPOC โครงการ'!25:25,"AAAAAFQlHxE=",0)</f>
        <v>0</v>
      </c>
      <c r="S8">
        <f>IF('3.SIPOC โครงการ'!26:26,"AAAAAFQlHxI=",0)</f>
        <v>0</v>
      </c>
      <c r="T8">
        <f>IF('3.SIPOC โครงการ'!27:27,"AAAAAFQlHxM=",0)</f>
        <v>0</v>
      </c>
      <c r="U8">
        <f>IF('3.SIPOC โครงการ'!A:A,"AAAAAFQlHxQ=",0)</f>
        <v>0</v>
      </c>
      <c r="V8" t="e">
        <f>IF('3.SIPOC โครงการ'!B:B,"AAAAAFQlHxU=",0)</f>
        <v>#VALUE!</v>
      </c>
      <c r="W8" t="e">
        <f>IF('3.SIPOC โครงการ'!C:C,"AAAAAFQlHxY=",0)</f>
        <v>#VALUE!</v>
      </c>
      <c r="X8">
        <f>IF('3.SIPOC โครงการ'!D:D,"AAAAAFQlHxc=",0)</f>
        <v>0</v>
      </c>
      <c r="Y8">
        <f>IF('3.SIPOC โครงการ'!E:E,"AAAAAFQlHxg=",0)</f>
        <v>0</v>
      </c>
      <c r="Z8" t="e">
        <f>IF('3.SIPOC โครงการ'!F:F,"AAAAAFQlHxk=",0)</f>
        <v>#VALUE!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Atittaya Phattharamanat</dc:creator>
  <cp:keywords/>
  <dc:description/>
  <cp:lastModifiedBy>eng</cp:lastModifiedBy>
  <cp:lastPrinted>2012-02-08T09:16:10Z</cp:lastPrinted>
  <dcterms:created xsi:type="dcterms:W3CDTF">2011-12-19T06:45:38Z</dcterms:created>
  <dcterms:modified xsi:type="dcterms:W3CDTF">2012-02-29T02:06:32Z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</Properties>
</file>